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drawings/drawing3.xml" ContentType="application/vnd.openxmlformats-officedocument.drawing+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1995" windowWidth="15360" windowHeight="7965" tabRatio="585" firstSheet="49" activeTab="49"/>
  </bookViews>
  <sheets>
    <sheet name="laroux" sheetId="77" state="veryHidden" r:id="rId1"/>
    <sheet name="索引目录" sheetId="106" state="hidden" r:id="rId2"/>
    <sheet name="填表说明" sheetId="107" state="hidden" r:id="rId3"/>
    <sheet name="基本情况" sheetId="108" state="hidden" r:id="rId4"/>
    <sheet name="资产负债表" sheetId="109" state="hidden" r:id="rId5"/>
    <sheet name="利润表" sheetId="143" state="hidden" r:id="rId6"/>
    <sheet name="审定数" sheetId="137" state="hidden" r:id="rId7"/>
    <sheet name="分类汇总" sheetId="2" state="hidden" r:id="rId8"/>
    <sheet name="流动汇总" sheetId="3" state="hidden" r:id="rId9"/>
    <sheet name="现金" sheetId="4" state="hidden" r:id="rId10"/>
    <sheet name="银行存款" sheetId="5" state="hidden" r:id="rId11"/>
    <sheet name="其他货币资金" sheetId="6" state="hidden" r:id="rId12"/>
    <sheet name="交易性金融资产汇总" sheetId="7" state="hidden" r:id="rId13"/>
    <sheet name="交易性-股票" sheetId="8" state="hidden" r:id="rId14"/>
    <sheet name="交易性-债券" sheetId="9" state="hidden" r:id="rId15"/>
    <sheet name="交易性-基金" sheetId="121" state="hidden" r:id="rId16"/>
    <sheet name="应收票据" sheetId="98" state="hidden" r:id="rId17"/>
    <sheet name="应收账款" sheetId="11" state="hidden" r:id="rId18"/>
    <sheet name="预付账款" sheetId="14" state="hidden" r:id="rId19"/>
    <sheet name="应收利息" sheetId="13" state="hidden" r:id="rId20"/>
    <sheet name="应收股利（利润）" sheetId="12" state="hidden" r:id="rId21"/>
    <sheet name="其他应收款" sheetId="16" state="hidden" r:id="rId22"/>
    <sheet name="存货汇总" sheetId="17" state="hidden" r:id="rId23"/>
    <sheet name="材料采购（在途物资）" sheetId="19" state="hidden" r:id="rId24"/>
    <sheet name="原材料" sheetId="18" state="hidden" r:id="rId25"/>
    <sheet name="在库周转材料" sheetId="20" state="hidden" r:id="rId26"/>
    <sheet name="委托加工物资" sheetId="100" state="hidden" r:id="rId27"/>
    <sheet name="产成品（库存商品）" sheetId="23" state="hidden" r:id="rId28"/>
    <sheet name="在产品（自制半成品）" sheetId="99" state="hidden" r:id="rId29"/>
    <sheet name="发出商品" sheetId="116" state="hidden" r:id="rId30"/>
    <sheet name="在用周转材料" sheetId="26" state="hidden" r:id="rId31"/>
    <sheet name="一年到期非流动资产" sheetId="31" state="hidden" r:id="rId32"/>
    <sheet name="其他流动资产" sheetId="32" state="hidden" r:id="rId33"/>
    <sheet name="非流动资产汇总" sheetId="125" state="hidden" r:id="rId34"/>
    <sheet name="可供出售金融资产汇总" sheetId="33" state="hidden" r:id="rId35"/>
    <sheet name="可出售-股票" sheetId="34" state="hidden" r:id="rId36"/>
    <sheet name="可出售-债券" sheetId="35" state="hidden" r:id="rId37"/>
    <sheet name="可出售-其他" sheetId="123" state="hidden" r:id="rId38"/>
    <sheet name="持有到期投资" sheetId="124" state="hidden" r:id="rId39"/>
    <sheet name="长期应收" sheetId="127" state="hidden" r:id="rId40"/>
    <sheet name="股权投资" sheetId="36" state="hidden" r:id="rId41"/>
    <sheet name="4-5-1投资性房地产" sheetId="138" state="hidden" r:id="rId42"/>
    <sheet name="4-5-2投资性房地产" sheetId="139" state="hidden" r:id="rId43"/>
    <sheet name="4-5-3投资性地产" sheetId="140" state="hidden" r:id="rId44"/>
    <sheet name="4-5-4投资性地产" sheetId="141" state="hidden" r:id="rId45"/>
    <sheet name="房屋建筑物" sheetId="38" state="hidden" r:id="rId46"/>
    <sheet name="构筑物" sheetId="39" state="hidden" r:id="rId47"/>
    <sheet name="管道沟槽" sheetId="40" state="hidden" r:id="rId48"/>
    <sheet name="井巷" sheetId="144" state="hidden" r:id="rId49"/>
    <sheet name="机器设备" sheetId="41" r:id="rId50"/>
    <sheet name="车辆" sheetId="42" state="hidden" r:id="rId51"/>
    <sheet name="电子设备" sheetId="43" state="hidden" r:id="rId52"/>
    <sheet name="土地" sheetId="120" state="hidden" r:id="rId53"/>
    <sheet name="在建工程汇总" sheetId="128" state="hidden" r:id="rId54"/>
    <sheet name="在建（土建）" sheetId="45" state="hidden" r:id="rId55"/>
    <sheet name="在建（设备）" sheetId="46" state="hidden" r:id="rId56"/>
    <sheet name="工程物资" sheetId="44" state="hidden" r:id="rId57"/>
    <sheet name="固定资产清理" sheetId="47" state="hidden" r:id="rId58"/>
    <sheet name="生产性生物资产" sheetId="129" state="hidden" r:id="rId59"/>
    <sheet name="油气资产" sheetId="130" state="hidden" r:id="rId60"/>
    <sheet name="无形资产汇总" sheetId="131" state="hidden" r:id="rId61"/>
    <sheet name="无形-土地" sheetId="49" state="hidden" r:id="rId62"/>
    <sheet name="无形-矿业权" sheetId="142" state="hidden" r:id="rId63"/>
    <sheet name="无形-其他" sheetId="50" state="hidden" r:id="rId64"/>
    <sheet name="开发支出" sheetId="132" state="hidden" r:id="rId65"/>
    <sheet name="商誉" sheetId="133" state="hidden" r:id="rId66"/>
    <sheet name="长期待摊费用" sheetId="52" state="hidden" r:id="rId67"/>
    <sheet name="递延所得税资产" sheetId="54" state="hidden" r:id="rId68"/>
    <sheet name="其他非流动资产" sheetId="53" state="hidden" r:id="rId69"/>
    <sheet name="流动负债汇总" sheetId="55" state="hidden" r:id="rId70"/>
    <sheet name="短期借款" sheetId="56" state="hidden" r:id="rId71"/>
    <sheet name="交易性金融负债" sheetId="134" state="hidden" r:id="rId72"/>
    <sheet name="应付票据" sheetId="57" state="hidden" r:id="rId73"/>
    <sheet name="应付账款" sheetId="58" state="hidden" r:id="rId74"/>
    <sheet name="预收账款" sheetId="59" state="hidden" r:id="rId75"/>
    <sheet name="职工薪酬" sheetId="62" state="hidden" r:id="rId76"/>
    <sheet name="应交税费" sheetId="64" state="hidden" r:id="rId77"/>
    <sheet name="应付利息" sheetId="135" state="hidden" r:id="rId78"/>
    <sheet name="应付股利（利润）" sheetId="65" state="hidden" r:id="rId79"/>
    <sheet name="其他应付款" sheetId="61" state="hidden" r:id="rId80"/>
    <sheet name="一年到期非流动负债" sheetId="68" state="hidden" r:id="rId81"/>
    <sheet name="其他流动负债" sheetId="69" state="hidden" r:id="rId82"/>
    <sheet name="非流动负债汇总 " sheetId="70" state="hidden" r:id="rId83"/>
    <sheet name="长期借款" sheetId="71" state="hidden" r:id="rId84"/>
    <sheet name="应付债券" sheetId="110" state="hidden" r:id="rId85"/>
    <sheet name="长期应付款" sheetId="73" state="hidden" r:id="rId86"/>
    <sheet name="专项应付款" sheetId="111" state="hidden" r:id="rId87"/>
    <sheet name="预计负债" sheetId="136" state="hidden" r:id="rId88"/>
    <sheet name="递延所得税负债" sheetId="76" state="hidden" r:id="rId89"/>
    <sheet name="其他非流动负债" sheetId="96" state="hidden" r:id="rId90"/>
    <sheet name="00000000" sheetId="78" state="veryHidden" r:id="rId91"/>
  </sheets>
  <definedNames>
    <definedName name="_xlnm._FilterDatabase" localSheetId="50" hidden="1">车辆!$A$6:$AI$6</definedName>
    <definedName name="_xlnm._FilterDatabase" localSheetId="51" hidden="1">电子设备!$A$6:$AF$11</definedName>
    <definedName name="_xlnm._FilterDatabase" localSheetId="45" hidden="1">房屋建筑物!$A$6:$BF$6</definedName>
    <definedName name="_xlnm._FilterDatabase" localSheetId="56" hidden="1">工程物资!$A$6:$V$6</definedName>
    <definedName name="_xlnm._FilterDatabase" localSheetId="46" hidden="1">构筑物!$A$6:$X$6</definedName>
    <definedName name="_xlnm._FilterDatabase" localSheetId="49" hidden="1">机器设备!$A$6:$AU$506</definedName>
    <definedName name="_xlnm._FilterDatabase" localSheetId="48" hidden="1">井巷!$A$8:$BL$21</definedName>
    <definedName name="_xlnm._FilterDatabase" localSheetId="55" hidden="1">'在建（设备）'!$A$6:$W$6</definedName>
    <definedName name="_xlnm._FilterDatabase" localSheetId="54" hidden="1">'在建（土建）'!$A$5:$R$5</definedName>
    <definedName name="_xlnm._FilterDatabase" localSheetId="25" hidden="1">在库周转材料!$N$1:$P$27</definedName>
    <definedName name="_Key1" hidden="1">#REF!</definedName>
    <definedName name="_Order1" hidden="1">255</definedName>
    <definedName name="_Sort" hidden="1">#REF!</definedName>
    <definedName name="_xlnm.Print_Area" localSheetId="41">'4-5-1投资性房地产'!$A$2:$V$29</definedName>
    <definedName name="_xlnm.Print_Area" localSheetId="42">'4-5-2投资性房地产'!$A$2:$S$29</definedName>
    <definedName name="_xlnm.Print_Area" localSheetId="43">'4-5-3投资性地产'!$A$2:$S$29</definedName>
    <definedName name="_xlnm.Print_Area" localSheetId="44">'4-5-4投资性地产'!$A$2:$S$29</definedName>
    <definedName name="_xlnm.Print_Area" localSheetId="23">'材料采购（在途物资）'!$A$2:$Q$29</definedName>
    <definedName name="_xlnm.Print_Area" localSheetId="27">'产成品（库存商品）'!$A$2:$Q$28</definedName>
    <definedName name="_xlnm.Print_Area" localSheetId="50">车辆!$A$2:$V$21</definedName>
    <definedName name="_xlnm.Print_Area" localSheetId="38">持有到期投资!$A$2:$M$29</definedName>
    <definedName name="_xlnm.Print_Area" localSheetId="22">存货汇总!$A$2:$G$29</definedName>
    <definedName name="_xlnm.Print_Area" localSheetId="88">递延所得税负债!$A$2:$H$29</definedName>
    <definedName name="_xlnm.Print_Area" localSheetId="67">递延所得税资产!$A$2:$H$29</definedName>
    <definedName name="_xlnm.Print_Area" localSheetId="51">电子设备!$A$2:$V$132</definedName>
    <definedName name="_xlnm.Print_Area" localSheetId="70">短期借款!$A$2:$M$29</definedName>
    <definedName name="_xlnm.Print_Area" localSheetId="29">发出商品!$A$2:$R$29</definedName>
    <definedName name="_xlnm.Print_Area" localSheetId="45">房屋建筑物!$A$2:$AH$45</definedName>
    <definedName name="_xlnm.Print_Area" localSheetId="82">'非流动负债汇总 '!$A$2:$G$30</definedName>
    <definedName name="_xlnm.Print_Area" localSheetId="33">非流动资产汇总!$A$2:$G$29</definedName>
    <definedName name="_xlnm.Print_Area" localSheetId="7">分类汇总!$A$2:$H$65</definedName>
    <definedName name="_xlnm.Print_Area" localSheetId="56">工程物资!$A$2:$Q$29</definedName>
    <definedName name="_xlnm.Print_Area" localSheetId="46">构筑物!$A$2:$X$149</definedName>
    <definedName name="_xlnm.Print_Area" localSheetId="40">股权投资!$A$2:$L$29</definedName>
    <definedName name="_xlnm.Print_Area" localSheetId="57">固定资产清理!$A$2:$J$29</definedName>
    <definedName name="_xlnm.Print_Area" localSheetId="47">管道沟槽!$A$2:$V$19</definedName>
    <definedName name="_xlnm.Print_Area" localSheetId="49">机器设备!$A$2:$W$512</definedName>
    <definedName name="_xlnm.Print_Area" localSheetId="3">基本情况!$A$2:$K$42</definedName>
    <definedName name="_xlnm.Print_Area" localSheetId="13">'交易性-股票'!$A$2:$L$29</definedName>
    <definedName name="_xlnm.Print_Area" localSheetId="15">'交易性-基金'!$A$2:$M$29</definedName>
    <definedName name="_xlnm.Print_Area" localSheetId="71">交易性金融负债!$A$2:$I$29</definedName>
    <definedName name="_xlnm.Print_Area" localSheetId="12">交易性金融资产汇总!$A$2:$G$29</definedName>
    <definedName name="_xlnm.Print_Area" localSheetId="14">'交易性-债券'!$A$2:$L$29</definedName>
    <definedName name="_xlnm.Print_Area" localSheetId="48">井巷!$A$1:$BB$26</definedName>
    <definedName name="_xlnm.Print_Area" localSheetId="64">开发支出!$A$2:$J$29</definedName>
    <definedName name="_xlnm.Print_Area" localSheetId="35">'可出售-股票'!$A$2:$N$29</definedName>
    <definedName name="_xlnm.Print_Area" localSheetId="37">'可出售-其他'!$A$2:$M$29</definedName>
    <definedName name="_xlnm.Print_Area" localSheetId="36">'可出售-债券'!$A$2:$M$29</definedName>
    <definedName name="_xlnm.Print_Area" localSheetId="34">可供出售金融资产汇总!$A$2:$H$29</definedName>
    <definedName name="_xlnm.Print_Area" localSheetId="69">流动负债汇总!$A$2:$G$29</definedName>
    <definedName name="_xlnm.Print_Area" localSheetId="8">流动汇总!$A$2:$I$29</definedName>
    <definedName name="_xlnm.Print_Area" localSheetId="89">其他非流动负债!$A$2:$I$29</definedName>
    <definedName name="_xlnm.Print_Area" localSheetId="68">其他非流动资产!$A$2:$I$29</definedName>
    <definedName name="_xlnm.Print_Area" localSheetId="11">其他货币资金!$A$2:$L$29</definedName>
    <definedName name="_xlnm.Print_Area" localSheetId="81">其他流动负债!$A$2:$I$29</definedName>
    <definedName name="_xlnm.Print_Area" localSheetId="32">其他流动资产!$A$2:$J$29</definedName>
    <definedName name="_xlnm.Print_Area" localSheetId="79">其他应付款!$A$2:$I$29</definedName>
    <definedName name="_xlnm.Print_Area" localSheetId="21">其他应收款!$A$2:$S$29</definedName>
    <definedName name="_xlnm.Print_Area" localSheetId="65">商誉!$A$2:$J$29</definedName>
    <definedName name="_xlnm.Print_Area" localSheetId="58">生产性生物资产!$A$2:$R$29</definedName>
    <definedName name="_xlnm.Print_Area" localSheetId="1">索引目录!$A$1:$J$54</definedName>
    <definedName name="_xlnm.Print_Area" localSheetId="2">填表说明!$A$1:$N$33</definedName>
    <definedName name="_xlnm.Print_Area" localSheetId="52">土地!$A$2:$S$30</definedName>
    <definedName name="_xlnm.Print_Area" localSheetId="26">委托加工物资!$A$2:$R$29</definedName>
    <definedName name="_xlnm.Print_Area" localSheetId="62">'无形-矿业权'!$A$2:$P$29</definedName>
    <definedName name="_xlnm.Print_Area" localSheetId="63">'无形-其他'!$A$2:$M$29</definedName>
    <definedName name="_xlnm.Print_Area" localSheetId="61">'无形-土地'!$A$2:$R$29</definedName>
    <definedName name="_xlnm.Print_Area" localSheetId="60">无形资产汇总!$A$2:$G$28</definedName>
    <definedName name="_xlnm.Print_Area" localSheetId="9">现金!$A$2:$J$29</definedName>
    <definedName name="_xlnm.Print_Area" localSheetId="80">一年到期非流动负债!$A$2:$J$29</definedName>
    <definedName name="_xlnm.Print_Area" localSheetId="31">一年到期非流动资产!$A$2:$J$29</definedName>
    <definedName name="_xlnm.Print_Area" localSheetId="10">银行存款!$A$2:$K$29</definedName>
    <definedName name="_xlnm.Print_Area" localSheetId="78">'应付股利（利润）'!$A$2:$I$29</definedName>
    <definedName name="_xlnm.Print_Area" localSheetId="77">应付利息!$A$2:$L$29</definedName>
    <definedName name="_xlnm.Print_Area" localSheetId="72">应付票据!$A$2:$J$29</definedName>
    <definedName name="_xlnm.Print_Area" localSheetId="84">应付债券!$A$2:$K$29</definedName>
    <definedName name="_xlnm.Print_Area" localSheetId="73">应付账款!$A$2:$I$29</definedName>
    <definedName name="_xlnm.Print_Area" localSheetId="76">应交税费!$A$2:$I$29</definedName>
    <definedName name="_xlnm.Print_Area" localSheetId="20">'应收股利（利润）'!$A$2:$J$29</definedName>
    <definedName name="_xlnm.Print_Area" localSheetId="19">应收利息!$A$2:$L$29</definedName>
    <definedName name="_xlnm.Print_Area" localSheetId="16">应收票据!$A$2:$L$29</definedName>
    <definedName name="_xlnm.Print_Area" localSheetId="17">应收账款!$A$2:$S$29</definedName>
    <definedName name="_xlnm.Print_Area" localSheetId="59">油气资产!$A$2:$S$29</definedName>
    <definedName name="_xlnm.Print_Area" localSheetId="18">预付账款!$A$2:$L$29</definedName>
    <definedName name="_xlnm.Print_Area" localSheetId="87">预计负债!$A$2:$I$29</definedName>
    <definedName name="_xlnm.Print_Area" localSheetId="74">预收账款!$A$2:$I$29</definedName>
    <definedName name="_xlnm.Print_Area" localSheetId="24">原材料!$A$2:$Q$29</definedName>
    <definedName name="_xlnm.Print_Area" localSheetId="28">'在产品（自制半成品）'!$A$2:$Q$29</definedName>
    <definedName name="_xlnm.Print_Area" localSheetId="55">'在建（设备）'!$A$2:$W$29</definedName>
    <definedName name="_xlnm.Print_Area" localSheetId="54">'在建（土建）'!$A$2:$O$24</definedName>
    <definedName name="_xlnm.Print_Area" localSheetId="53">在建工程汇总!$A$2:$G$29</definedName>
    <definedName name="_xlnm.Print_Area" localSheetId="25">在库周转材料!$A$2:$Q$25</definedName>
    <definedName name="_xlnm.Print_Area" localSheetId="30">在用周转材料!$A$2:$R$25</definedName>
    <definedName name="_xlnm.Print_Area" localSheetId="66">长期待摊费用!$A$2:$M$29</definedName>
    <definedName name="_xlnm.Print_Area" localSheetId="83">长期借款!$A$2:$M$29</definedName>
    <definedName name="_xlnm.Print_Area" localSheetId="85">长期应付款!$A$2:$M$29</definedName>
    <definedName name="_xlnm.Print_Area" localSheetId="39">长期应收!$A$2:$J$29</definedName>
    <definedName name="_xlnm.Print_Area" localSheetId="75">职工薪酬!$A$2:$H$29</definedName>
    <definedName name="_xlnm.Print_Area" localSheetId="86">专项应付款!$A$2:$H$29</definedName>
    <definedName name="_xlnm.Print_Area" localSheetId="4">资产负债表!$A$2:$J$42</definedName>
    <definedName name="_xlnm.Print_Titles" localSheetId="41">'4-5-1投资性房地产'!$2:$7</definedName>
    <definedName name="_xlnm.Print_Titles" localSheetId="23">'材料采购（在途物资）'!$2:$6</definedName>
    <definedName name="_xlnm.Print_Titles" localSheetId="27">'产成品（库存商品）'!$2:$6</definedName>
    <definedName name="_xlnm.Print_Titles" localSheetId="50">车辆!$2:$6</definedName>
    <definedName name="_xlnm.Print_Titles" localSheetId="38">持有到期投资!$2:$5</definedName>
    <definedName name="_xlnm.Print_Titles" localSheetId="88">递延所得税负债!$2:$5</definedName>
    <definedName name="_xlnm.Print_Titles" localSheetId="67">递延所得税资产!$2:$5</definedName>
    <definedName name="_xlnm.Print_Titles" localSheetId="51">电子设备!$2:$6</definedName>
    <definedName name="_xlnm.Print_Titles" localSheetId="70">短期借款!$2:$5</definedName>
    <definedName name="_xlnm.Print_Titles" localSheetId="29">发出商品!$2:$6</definedName>
    <definedName name="_xlnm.Print_Titles" localSheetId="45">房屋建筑物!$2:$6</definedName>
    <definedName name="_xlnm.Print_Titles" localSheetId="7">分类汇总!$2:$5</definedName>
    <definedName name="_xlnm.Print_Titles" localSheetId="56">工程物资!$2:$6</definedName>
    <definedName name="_xlnm.Print_Titles" localSheetId="46">构筑物!$2:$6</definedName>
    <definedName name="_xlnm.Print_Titles" localSheetId="40">股权投资!$2:$5</definedName>
    <definedName name="_xlnm.Print_Titles" localSheetId="57">固定资产清理!$2:$5</definedName>
    <definedName name="_xlnm.Print_Titles" localSheetId="47">管道沟槽!$2:$6</definedName>
    <definedName name="_xlnm.Print_Titles" localSheetId="49">机器设备!$2:$6</definedName>
    <definedName name="_xlnm.Print_Titles" localSheetId="3">基本情况!$2:$3</definedName>
    <definedName name="_xlnm.Print_Titles" localSheetId="13">'交易性-股票'!$2:$5</definedName>
    <definedName name="_xlnm.Print_Titles" localSheetId="15">'交易性-基金'!$2:$5</definedName>
    <definedName name="_xlnm.Print_Titles" localSheetId="71">交易性金融负债!$2:$5</definedName>
    <definedName name="_xlnm.Print_Titles" localSheetId="14">'交易性-债券'!$2:$5</definedName>
    <definedName name="_xlnm.Print_Titles" localSheetId="64">开发支出!$2:$5</definedName>
    <definedName name="_xlnm.Print_Titles" localSheetId="35">'可出售-股票'!$2:$5</definedName>
    <definedName name="_xlnm.Print_Titles" localSheetId="37">'可出售-其他'!$2:$5</definedName>
    <definedName name="_xlnm.Print_Titles" localSheetId="36">'可出售-债券'!$2:$5</definedName>
    <definedName name="_xlnm.Print_Titles" localSheetId="89">其他非流动负债!$2:$5</definedName>
    <definedName name="_xlnm.Print_Titles" localSheetId="68">其他非流动资产!$2:$5</definedName>
    <definedName name="_xlnm.Print_Titles" localSheetId="11">其他货币资金!$2:$5</definedName>
    <definedName name="_xlnm.Print_Titles" localSheetId="81">其他流动负债!$2:$5</definedName>
    <definedName name="_xlnm.Print_Titles" localSheetId="32">其他流动资产!$2:$5</definedName>
    <definedName name="_xlnm.Print_Titles" localSheetId="79">其他应付款!$2:$5</definedName>
    <definedName name="_xlnm.Print_Titles" localSheetId="21">其他应收款!$2:$5</definedName>
    <definedName name="_xlnm.Print_Titles" localSheetId="65">商誉!$2:$5</definedName>
    <definedName name="_xlnm.Print_Titles" localSheetId="58">生产性生物资产!$2:$6</definedName>
    <definedName name="_xlnm.Print_Titles" localSheetId="52">土地!$2:$6</definedName>
    <definedName name="_xlnm.Print_Titles" localSheetId="26">委托加工物资!$2:$6</definedName>
    <definedName name="_xlnm.Print_Titles" localSheetId="63">'无形-其他'!$2:$5</definedName>
    <definedName name="_xlnm.Print_Titles" localSheetId="61">'无形-土地'!$2:$5</definedName>
    <definedName name="_xlnm.Print_Titles" localSheetId="9">现金!$2:$5</definedName>
    <definedName name="_xlnm.Print_Titles" localSheetId="80">一年到期非流动负债!$2:$5</definedName>
    <definedName name="_xlnm.Print_Titles" localSheetId="31">一年到期非流动资产!$2:$5</definedName>
    <definedName name="_xlnm.Print_Titles" localSheetId="10">银行存款!$2:$5</definedName>
    <definedName name="_xlnm.Print_Titles" localSheetId="78">'应付股利（利润）'!$2:$5</definedName>
    <definedName name="_xlnm.Print_Titles" localSheetId="77">应付利息!$2:$5</definedName>
    <definedName name="_xlnm.Print_Titles" localSheetId="72">应付票据!$2:$5</definedName>
    <definedName name="_xlnm.Print_Titles" localSheetId="84">应付债券!$2:$5</definedName>
    <definedName name="_xlnm.Print_Titles" localSheetId="73">应付账款!$2:$5</definedName>
    <definedName name="_xlnm.Print_Titles" localSheetId="76">应交税费!$2:$5</definedName>
    <definedName name="_xlnm.Print_Titles" localSheetId="20">'应收股利（利润）'!$2:$5</definedName>
    <definedName name="_xlnm.Print_Titles" localSheetId="19">应收利息!$2:$5</definedName>
    <definedName name="_xlnm.Print_Titles" localSheetId="16">应收票据!$2:$5</definedName>
    <definedName name="_xlnm.Print_Titles" localSheetId="17">应收账款!$2:$5</definedName>
    <definedName name="_xlnm.Print_Titles" localSheetId="59">油气资产!$2:$6</definedName>
    <definedName name="_xlnm.Print_Titles" localSheetId="18">预付账款!$2:$5</definedName>
    <definedName name="_xlnm.Print_Titles" localSheetId="87">预计负债!$2:$5</definedName>
    <definedName name="_xlnm.Print_Titles" localSheetId="74">预收账款!$2:$5</definedName>
    <definedName name="_xlnm.Print_Titles" localSheetId="24">原材料!$2:$6</definedName>
    <definedName name="_xlnm.Print_Titles" localSheetId="28">'在产品（自制半成品）'!$2:$6</definedName>
    <definedName name="_xlnm.Print_Titles" localSheetId="55">'在建（设备）'!$2:$6</definedName>
    <definedName name="_xlnm.Print_Titles" localSheetId="54">'在建（土建）'!$2:$5</definedName>
    <definedName name="_xlnm.Print_Titles" localSheetId="25">在库周转材料!$2:$6</definedName>
    <definedName name="_xlnm.Print_Titles" localSheetId="30">在用周转材料!$2:$6</definedName>
    <definedName name="_xlnm.Print_Titles" localSheetId="66">长期待摊费用!$2:$5</definedName>
    <definedName name="_xlnm.Print_Titles" localSheetId="83">长期借款!$2:$5</definedName>
    <definedName name="_xlnm.Print_Titles" localSheetId="85">长期应付款!$2:$6</definedName>
    <definedName name="_xlnm.Print_Titles" localSheetId="39">长期应收!$2:$5</definedName>
    <definedName name="_xlnm.Print_Titles" localSheetId="75">职工薪酬!$2:$5</definedName>
    <definedName name="_xlnm.Print_Titles" localSheetId="86">专项应付款!$2:$5</definedName>
  </definedNames>
  <calcPr calcId="145621" fullPrecision="0"/>
</workbook>
</file>

<file path=xl/calcChain.xml><?xml version="1.0" encoding="utf-8"?>
<calcChain xmlns="http://schemas.openxmlformats.org/spreadsheetml/2006/main">
  <c r="Z164" i="41" l="1"/>
  <c r="L126" i="41" l="1"/>
  <c r="K126" i="41"/>
  <c r="Y526" i="41"/>
  <c r="Y524" i="41"/>
  <c r="Z524" i="41" s="1"/>
  <c r="AA524" i="41" s="1"/>
  <c r="AM528" i="41"/>
  <c r="AN528" i="41" s="1"/>
  <c r="AO528" i="41" s="1"/>
  <c r="AE528" i="41"/>
  <c r="AC528" i="41"/>
  <c r="AA528" i="41"/>
  <c r="AN527" i="41"/>
  <c r="AO527" i="41" s="1"/>
  <c r="AM527" i="41"/>
  <c r="AE527" i="41"/>
  <c r="AC527" i="41"/>
  <c r="AA527" i="41"/>
  <c r="AM526" i="41"/>
  <c r="AN526" i="41" s="1"/>
  <c r="AO526" i="41" s="1"/>
  <c r="Z526" i="41"/>
  <c r="AM525" i="41"/>
  <c r="AN525" i="41" s="1"/>
  <c r="AO525" i="41" s="1"/>
  <c r="AE525" i="41"/>
  <c r="AC525" i="41"/>
  <c r="AA525" i="41"/>
  <c r="AM524" i="41"/>
  <c r="AN524" i="41" s="1"/>
  <c r="AO524" i="41" s="1"/>
  <c r="AM523" i="41"/>
  <c r="AN523" i="41" s="1"/>
  <c r="AO523" i="41" s="1"/>
  <c r="AE523" i="41"/>
  <c r="AC523" i="41"/>
  <c r="AA523" i="41"/>
  <c r="AM522" i="41"/>
  <c r="AN522" i="41" s="1"/>
  <c r="AO522" i="41" s="1"/>
  <c r="AE522" i="41"/>
  <c r="AC522" i="41"/>
  <c r="AA522" i="41"/>
  <c r="AM521" i="41"/>
  <c r="AN521" i="41" s="1"/>
  <c r="AO521" i="41" s="1"/>
  <c r="AE521" i="41"/>
  <c r="AC521" i="41"/>
  <c r="AA521" i="41"/>
  <c r="AM520" i="41"/>
  <c r="AN520" i="41" s="1"/>
  <c r="AO520" i="41" s="1"/>
  <c r="AE520" i="41"/>
  <c r="AC520" i="41"/>
  <c r="AA520" i="41"/>
  <c r="AM519" i="41"/>
  <c r="AN519" i="41" s="1"/>
  <c r="AO519" i="41" s="1"/>
  <c r="AE519" i="41"/>
  <c r="AC519" i="41"/>
  <c r="AA519" i="41"/>
  <c r="AM518" i="41"/>
  <c r="AN518" i="41" s="1"/>
  <c r="AO518" i="41" s="1"/>
  <c r="AE518" i="41"/>
  <c r="AC518" i="41"/>
  <c r="AA518" i="41"/>
  <c r="AM517" i="41"/>
  <c r="AN517" i="41" s="1"/>
  <c r="AO517" i="41" s="1"/>
  <c r="AE517" i="41"/>
  <c r="AC517" i="41"/>
  <c r="AA517" i="41"/>
  <c r="AM516" i="41"/>
  <c r="AN516" i="41" s="1"/>
  <c r="AO516" i="41" s="1"/>
  <c r="AE516" i="41"/>
  <c r="AC516" i="41"/>
  <c r="AA516" i="41"/>
  <c r="AM515" i="41"/>
  <c r="AN515" i="41" s="1"/>
  <c r="AO515" i="41" s="1"/>
  <c r="AE515" i="41"/>
  <c r="AC515" i="41"/>
  <c r="AA515" i="41"/>
  <c r="AM514" i="41"/>
  <c r="AN514" i="41" s="1"/>
  <c r="AO514" i="41" s="1"/>
  <c r="AE514" i="41"/>
  <c r="AC514" i="41"/>
  <c r="AA514" i="41"/>
  <c r="Q528" i="41"/>
  <c r="P528" i="41"/>
  <c r="Q527" i="41"/>
  <c r="P527" i="41"/>
  <c r="Q526" i="41"/>
  <c r="P526" i="41"/>
  <c r="Q525" i="41"/>
  <c r="P525" i="41"/>
  <c r="Q524" i="41"/>
  <c r="P524" i="41"/>
  <c r="Q523" i="41"/>
  <c r="P523" i="41"/>
  <c r="Q522" i="41"/>
  <c r="P522" i="41"/>
  <c r="Q521" i="41"/>
  <c r="P521" i="41"/>
  <c r="Q520" i="41"/>
  <c r="P520" i="41"/>
  <c r="Q519" i="41"/>
  <c r="V519" i="41" s="1"/>
  <c r="P519" i="41"/>
  <c r="Q518" i="41"/>
  <c r="V518" i="41" s="1"/>
  <c r="P518" i="41"/>
  <c r="Q517" i="41"/>
  <c r="V517" i="41" s="1"/>
  <c r="P517" i="41"/>
  <c r="Q516" i="41"/>
  <c r="P516" i="41"/>
  <c r="Q515" i="41"/>
  <c r="P515" i="41"/>
  <c r="Q514" i="41"/>
  <c r="P514" i="41"/>
  <c r="R530" i="41"/>
  <c r="U530" i="41" s="1"/>
  <c r="Q530" i="41"/>
  <c r="P530" i="41"/>
  <c r="R529" i="41"/>
  <c r="U529" i="41" s="1"/>
  <c r="Q529" i="41"/>
  <c r="V529" i="41" s="1"/>
  <c r="P529" i="41"/>
  <c r="AA378" i="41"/>
  <c r="AA7" i="41"/>
  <c r="AA8" i="41"/>
  <c r="AA9" i="41"/>
  <c r="AA10" i="41"/>
  <c r="AA11" i="41"/>
  <c r="AA12" i="41"/>
  <c r="AA13" i="41"/>
  <c r="AA14" i="41"/>
  <c r="AA15" i="41"/>
  <c r="AA16" i="41"/>
  <c r="AA17" i="41"/>
  <c r="AA18" i="41"/>
  <c r="AA19" i="41"/>
  <c r="AA20" i="41"/>
  <c r="AA21" i="41"/>
  <c r="AA22" i="41"/>
  <c r="AA23" i="4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53" i="41"/>
  <c r="AA54" i="41"/>
  <c r="AA55" i="41"/>
  <c r="AA56" i="41"/>
  <c r="AA57" i="41"/>
  <c r="AA58" i="41"/>
  <c r="AA59" i="41"/>
  <c r="AA60" i="41"/>
  <c r="AA61" i="41"/>
  <c r="AA62" i="41"/>
  <c r="AA63" i="41"/>
  <c r="AA64" i="41"/>
  <c r="AA65" i="41"/>
  <c r="AA66" i="41"/>
  <c r="AA67" i="41"/>
  <c r="AA68" i="41"/>
  <c r="AA69" i="41"/>
  <c r="AA70" i="41"/>
  <c r="AA71" i="41"/>
  <c r="AA72" i="41"/>
  <c r="AA73" i="41"/>
  <c r="AA74" i="41"/>
  <c r="AA75" i="41"/>
  <c r="AA76" i="41"/>
  <c r="AA77" i="41"/>
  <c r="AA78" i="41"/>
  <c r="AA79" i="41"/>
  <c r="AA80" i="41"/>
  <c r="AA81" i="41"/>
  <c r="AA82" i="41"/>
  <c r="AA83" i="41"/>
  <c r="AA84" i="41"/>
  <c r="AA85" i="41"/>
  <c r="AA86" i="41"/>
  <c r="AA87" i="41"/>
  <c r="AA88" i="41"/>
  <c r="AA89" i="41"/>
  <c r="AA90" i="41"/>
  <c r="AA91" i="41"/>
  <c r="AA92" i="41"/>
  <c r="AA93" i="41"/>
  <c r="AA94" i="41"/>
  <c r="AA95" i="41"/>
  <c r="AA96" i="41"/>
  <c r="AA97" i="41"/>
  <c r="AA98" i="41"/>
  <c r="AA99" i="41"/>
  <c r="AA100" i="41"/>
  <c r="AA101" i="41"/>
  <c r="AA102" i="41"/>
  <c r="AA103" i="41"/>
  <c r="AA104" i="41"/>
  <c r="AA105" i="41"/>
  <c r="AA106" i="41"/>
  <c r="AA107" i="41"/>
  <c r="AA108" i="41"/>
  <c r="AA109" i="41"/>
  <c r="AA110" i="41"/>
  <c r="AA111" i="41"/>
  <c r="AA112" i="41"/>
  <c r="AA113" i="41"/>
  <c r="AA114" i="41"/>
  <c r="AA115" i="41"/>
  <c r="AA116" i="41"/>
  <c r="AA117" i="41"/>
  <c r="AA118" i="41"/>
  <c r="AA119" i="41"/>
  <c r="AA120" i="41"/>
  <c r="AA121" i="41"/>
  <c r="AA122" i="41"/>
  <c r="AA123" i="41"/>
  <c r="AA124" i="41"/>
  <c r="AA125" i="41"/>
  <c r="AA126" i="41"/>
  <c r="AA127" i="41"/>
  <c r="AA128" i="41"/>
  <c r="AA129" i="41"/>
  <c r="AA130" i="41"/>
  <c r="AA131" i="41"/>
  <c r="AA132" i="41"/>
  <c r="AA133" i="41"/>
  <c r="AA134" i="41"/>
  <c r="AA135" i="41"/>
  <c r="AA136" i="41"/>
  <c r="AA137" i="41"/>
  <c r="AA138" i="41"/>
  <c r="AA139" i="41"/>
  <c r="AA140" i="41"/>
  <c r="AA141" i="41"/>
  <c r="AA142" i="41"/>
  <c r="AA143" i="41"/>
  <c r="AA144" i="41"/>
  <c r="AA145" i="41"/>
  <c r="AA146" i="41"/>
  <c r="AA147" i="41"/>
  <c r="AA148" i="41"/>
  <c r="AA149" i="41"/>
  <c r="AA150" i="41"/>
  <c r="AA151" i="41"/>
  <c r="AA152" i="41"/>
  <c r="AA153" i="41"/>
  <c r="AA154" i="41"/>
  <c r="AA155" i="41"/>
  <c r="AA156" i="41"/>
  <c r="AA157" i="41"/>
  <c r="AA158" i="41"/>
  <c r="AA159" i="41"/>
  <c r="AA160" i="41"/>
  <c r="AA161" i="41"/>
  <c r="AA162" i="41"/>
  <c r="AA163" i="41"/>
  <c r="AA165" i="41"/>
  <c r="AA166" i="41"/>
  <c r="AA167" i="41"/>
  <c r="AA168" i="41"/>
  <c r="AA169" i="41"/>
  <c r="AA170" i="41"/>
  <c r="AA171" i="41"/>
  <c r="AA172" i="41"/>
  <c r="AA173" i="41"/>
  <c r="AA174" i="41"/>
  <c r="AA175" i="41"/>
  <c r="AA176" i="41"/>
  <c r="AA177" i="41"/>
  <c r="AA178" i="41"/>
  <c r="AA179" i="41"/>
  <c r="AA180" i="41"/>
  <c r="AA181" i="41"/>
  <c r="AA182" i="41"/>
  <c r="AA183" i="41"/>
  <c r="AA184" i="41"/>
  <c r="AA185" i="41"/>
  <c r="AA186" i="41"/>
  <c r="AA187" i="41"/>
  <c r="AA188" i="41"/>
  <c r="AA189" i="41"/>
  <c r="AA190" i="41"/>
  <c r="AA191" i="41"/>
  <c r="AA192" i="41"/>
  <c r="AA193" i="41"/>
  <c r="AA194" i="41"/>
  <c r="AA195" i="41"/>
  <c r="AA196" i="41"/>
  <c r="AA197" i="41"/>
  <c r="AA198" i="41"/>
  <c r="AA199" i="41"/>
  <c r="AA200" i="41"/>
  <c r="AA201" i="41"/>
  <c r="AA202" i="41"/>
  <c r="AA203" i="41"/>
  <c r="AA204" i="41"/>
  <c r="AA206" i="41"/>
  <c r="AA207" i="41"/>
  <c r="AA208" i="41"/>
  <c r="AA209" i="41"/>
  <c r="AA210" i="41"/>
  <c r="AA211" i="41"/>
  <c r="AA212" i="41"/>
  <c r="AA213" i="41"/>
  <c r="AA214" i="41"/>
  <c r="AA215" i="41"/>
  <c r="AA216" i="41"/>
  <c r="AA217" i="41"/>
  <c r="AA218" i="41"/>
  <c r="AA219" i="41"/>
  <c r="AA220" i="41"/>
  <c r="AA221" i="41"/>
  <c r="AA222" i="41"/>
  <c r="AA223" i="41"/>
  <c r="AA224" i="41"/>
  <c r="AA225" i="41"/>
  <c r="AA226" i="41"/>
  <c r="AA227" i="41"/>
  <c r="AA228" i="41"/>
  <c r="AA229" i="41"/>
  <c r="AA230" i="41"/>
  <c r="AA231" i="41"/>
  <c r="AA232" i="41"/>
  <c r="AA233" i="41"/>
  <c r="AA234" i="41"/>
  <c r="AA235" i="41"/>
  <c r="AA236" i="41"/>
  <c r="AA237" i="41"/>
  <c r="AA238" i="41"/>
  <c r="AA239" i="41"/>
  <c r="AA240" i="41"/>
  <c r="AA241" i="41"/>
  <c r="AA242" i="41"/>
  <c r="AA243" i="41"/>
  <c r="AA244" i="41"/>
  <c r="AA245" i="41"/>
  <c r="AA246" i="41"/>
  <c r="AA247" i="41"/>
  <c r="AA248" i="41"/>
  <c r="AA249" i="41"/>
  <c r="AA250" i="41"/>
  <c r="AA251" i="41"/>
  <c r="AA252" i="41"/>
  <c r="AA253" i="41"/>
  <c r="AA254" i="41"/>
  <c r="AA255" i="41"/>
  <c r="AA258" i="41"/>
  <c r="AA259" i="41"/>
  <c r="AA260" i="41"/>
  <c r="AA261" i="41"/>
  <c r="AA262" i="41"/>
  <c r="AA263" i="41"/>
  <c r="AA264" i="41"/>
  <c r="AA265" i="41"/>
  <c r="AA266" i="41"/>
  <c r="AA267" i="41"/>
  <c r="AA268" i="41"/>
  <c r="AA269" i="41"/>
  <c r="AA270" i="41"/>
  <c r="AA271" i="41"/>
  <c r="AA272" i="41"/>
  <c r="AA274" i="41"/>
  <c r="AA275" i="41"/>
  <c r="AA276" i="41"/>
  <c r="AA277" i="41"/>
  <c r="AA278" i="41"/>
  <c r="AA279" i="41"/>
  <c r="AA280" i="41"/>
  <c r="AA281" i="41"/>
  <c r="AA282" i="41"/>
  <c r="AA285" i="41"/>
  <c r="AA286" i="41"/>
  <c r="AA287" i="41"/>
  <c r="AA288" i="41"/>
  <c r="AA289" i="41"/>
  <c r="AA290" i="41"/>
  <c r="AA291" i="41"/>
  <c r="AA292" i="41"/>
  <c r="AA293" i="41"/>
  <c r="AA294" i="41"/>
  <c r="AA295" i="41"/>
  <c r="AA296" i="41"/>
  <c r="AA297" i="41"/>
  <c r="AA298" i="41"/>
  <c r="AA299" i="41"/>
  <c r="AA300" i="41"/>
  <c r="AA301" i="41"/>
  <c r="AA302" i="41"/>
  <c r="AA303" i="41"/>
  <c r="AA304" i="41"/>
  <c r="AA305" i="41"/>
  <c r="AA306" i="41"/>
  <c r="AA307" i="41"/>
  <c r="AA308" i="41"/>
  <c r="AA309" i="41"/>
  <c r="AA310" i="41"/>
  <c r="AA311" i="41"/>
  <c r="AA312" i="41"/>
  <c r="AA313" i="41"/>
  <c r="AA314" i="41"/>
  <c r="AA315" i="41"/>
  <c r="AA316" i="41"/>
  <c r="AA317" i="41"/>
  <c r="AA318" i="41"/>
  <c r="AA319" i="41"/>
  <c r="AA320" i="41"/>
  <c r="AA321" i="41"/>
  <c r="AA322" i="41"/>
  <c r="AA323" i="41"/>
  <c r="AA324" i="41"/>
  <c r="AA325" i="41"/>
  <c r="AA326" i="41"/>
  <c r="AA327" i="41"/>
  <c r="AA328" i="41"/>
  <c r="AA329" i="41"/>
  <c r="AA330" i="41"/>
  <c r="AA343" i="41"/>
  <c r="AA344" i="41"/>
  <c r="AA345" i="41"/>
  <c r="AA346" i="41"/>
  <c r="AA347" i="41"/>
  <c r="AA348" i="41"/>
  <c r="AA349" i="41"/>
  <c r="AA350" i="41"/>
  <c r="AA351" i="41"/>
  <c r="AA352" i="41"/>
  <c r="AA353" i="41"/>
  <c r="AA354" i="41"/>
  <c r="AA355" i="41"/>
  <c r="AA356" i="41"/>
  <c r="AA357" i="41"/>
  <c r="AA358" i="41"/>
  <c r="AA359" i="41"/>
  <c r="AA360" i="41"/>
  <c r="AA361" i="41"/>
  <c r="AA362" i="41"/>
  <c r="AA364" i="41"/>
  <c r="AA365" i="41"/>
  <c r="AA366" i="41"/>
  <c r="AA367" i="41"/>
  <c r="AA368" i="41"/>
  <c r="AA369" i="41"/>
  <c r="AA370" i="41"/>
  <c r="AA371" i="41"/>
  <c r="AA372" i="41"/>
  <c r="AA373" i="41"/>
  <c r="AA374" i="41"/>
  <c r="AA375" i="41"/>
  <c r="AA376" i="41"/>
  <c r="AA379" i="41"/>
  <c r="AA380" i="41"/>
  <c r="AA381" i="41"/>
  <c r="AA382" i="41"/>
  <c r="AA383" i="41"/>
  <c r="AA384" i="41"/>
  <c r="AA385" i="41"/>
  <c r="AA386" i="41"/>
  <c r="AA387" i="41"/>
  <c r="AA388" i="41"/>
  <c r="AA389" i="41"/>
  <c r="AA390" i="41"/>
  <c r="AA391" i="41"/>
  <c r="AA392" i="41"/>
  <c r="AA393" i="41"/>
  <c r="AA394" i="41"/>
  <c r="AA395" i="41"/>
  <c r="AA396" i="41"/>
  <c r="AA397" i="41"/>
  <c r="AA398" i="41"/>
  <c r="AA399" i="41"/>
  <c r="AA400" i="41"/>
  <c r="AA401" i="41"/>
  <c r="AA402" i="41"/>
  <c r="AA403" i="41"/>
  <c r="AA404" i="41"/>
  <c r="AA405" i="41"/>
  <c r="AA406" i="41"/>
  <c r="AA407" i="41"/>
  <c r="AA408" i="41"/>
  <c r="AA409" i="41"/>
  <c r="AA410" i="41"/>
  <c r="AA411" i="41"/>
  <c r="AA412" i="41"/>
  <c r="AA413" i="41"/>
  <c r="AA414" i="41"/>
  <c r="AA415" i="41"/>
  <c r="AA416" i="41"/>
  <c r="AA417" i="41"/>
  <c r="AA418" i="41"/>
  <c r="AA419" i="41"/>
  <c r="AA420" i="41"/>
  <c r="AA421" i="41"/>
  <c r="AA422" i="41"/>
  <c r="AA423" i="41"/>
  <c r="AA424" i="41"/>
  <c r="AA425" i="41"/>
  <c r="AA426" i="41"/>
  <c r="AA427" i="41"/>
  <c r="AA428" i="41"/>
  <c r="AA429" i="41"/>
  <c r="AA430" i="41"/>
  <c r="AA431" i="41"/>
  <c r="AA432" i="41"/>
  <c r="AA433" i="41"/>
  <c r="AA434" i="41"/>
  <c r="AA435" i="41"/>
  <c r="AA436" i="41"/>
  <c r="AA437" i="41"/>
  <c r="AA438" i="41"/>
  <c r="AA439" i="41"/>
  <c r="AA440" i="41"/>
  <c r="AA441" i="41"/>
  <c r="AA442" i="41"/>
  <c r="AA443" i="41"/>
  <c r="AA444" i="41"/>
  <c r="AA445" i="41"/>
  <c r="AA446" i="41"/>
  <c r="AA447" i="41"/>
  <c r="AA448" i="41"/>
  <c r="AA449" i="41"/>
  <c r="AA450" i="41"/>
  <c r="AA451" i="41"/>
  <c r="AA452" i="41"/>
  <c r="AA453" i="41"/>
  <c r="AA454" i="41"/>
  <c r="AA455" i="41"/>
  <c r="AA456" i="41"/>
  <c r="AA457" i="41"/>
  <c r="AA458" i="41"/>
  <c r="AA459" i="41"/>
  <c r="AA460" i="41"/>
  <c r="AA461" i="41"/>
  <c r="AA462" i="41"/>
  <c r="AA463" i="41"/>
  <c r="AA464" i="41"/>
  <c r="AA465" i="41"/>
  <c r="AA466" i="41"/>
  <c r="AA467" i="41"/>
  <c r="AA468" i="41"/>
  <c r="AA469" i="41"/>
  <c r="AA470" i="41"/>
  <c r="AA471" i="41"/>
  <c r="AA472" i="41"/>
  <c r="AA473" i="41"/>
  <c r="AA474" i="41"/>
  <c r="AA475" i="41"/>
  <c r="AA476" i="41"/>
  <c r="AA477" i="41"/>
  <c r="AA478" i="41"/>
  <c r="AA479" i="41"/>
  <c r="AA480" i="41"/>
  <c r="AA481" i="41"/>
  <c r="AA482" i="41"/>
  <c r="AA483" i="41"/>
  <c r="AA484" i="41"/>
  <c r="AA485" i="41"/>
  <c r="AA486" i="41"/>
  <c r="AA487" i="41"/>
  <c r="AA488" i="41"/>
  <c r="AA489" i="41"/>
  <c r="AA490" i="41"/>
  <c r="AA491" i="41"/>
  <c r="AA492" i="41"/>
  <c r="AA493" i="41"/>
  <c r="AA494" i="41"/>
  <c r="AA495" i="41"/>
  <c r="AA496" i="41"/>
  <c r="AA497" i="41"/>
  <c r="AA498" i="41"/>
  <c r="AA499" i="41"/>
  <c r="AA500" i="41"/>
  <c r="AA501" i="41"/>
  <c r="AA502" i="41"/>
  <c r="AA503" i="41"/>
  <c r="AA504" i="41"/>
  <c r="AA505" i="41"/>
  <c r="AA506" i="41"/>
  <c r="AM625" i="41"/>
  <c r="AN625" i="41" s="1"/>
  <c r="AO625" i="41" s="1"/>
  <c r="AE625" i="41"/>
  <c r="AC625" i="41"/>
  <c r="AA625" i="41"/>
  <c r="Q625" i="41"/>
  <c r="V625" i="41" s="1"/>
  <c r="P625" i="41"/>
  <c r="X625" i="41" s="1"/>
  <c r="AM624" i="41"/>
  <c r="AN624" i="41" s="1"/>
  <c r="AO624" i="41" s="1"/>
  <c r="AE624" i="41"/>
  <c r="AC624" i="41"/>
  <c r="AA624" i="41"/>
  <c r="Q624" i="41"/>
  <c r="V624" i="41" s="1"/>
  <c r="P624" i="41"/>
  <c r="X624" i="41" s="1"/>
  <c r="AM623" i="41"/>
  <c r="AN623" i="41" s="1"/>
  <c r="AO623" i="41" s="1"/>
  <c r="AE623" i="41"/>
  <c r="AC623" i="41"/>
  <c r="AA623" i="41"/>
  <c r="Q623" i="41"/>
  <c r="V623" i="41" s="1"/>
  <c r="P623" i="41"/>
  <c r="X623" i="41" s="1"/>
  <c r="AM622" i="41"/>
  <c r="AN622" i="41" s="1"/>
  <c r="AO622" i="41" s="1"/>
  <c r="AE622" i="41"/>
  <c r="AC622" i="41"/>
  <c r="AA622" i="41"/>
  <c r="Q622" i="41"/>
  <c r="V622" i="41" s="1"/>
  <c r="P622" i="41"/>
  <c r="X622" i="41" s="1"/>
  <c r="AM621" i="41"/>
  <c r="AN621" i="41" s="1"/>
  <c r="AO621" i="41" s="1"/>
  <c r="AE621" i="41"/>
  <c r="AC621" i="41"/>
  <c r="AA621" i="41"/>
  <c r="Q621" i="41"/>
  <c r="V621" i="41" s="1"/>
  <c r="P621" i="41"/>
  <c r="X621" i="41" s="1"/>
  <c r="AM620" i="41"/>
  <c r="AN620" i="41" s="1"/>
  <c r="AO620" i="41" s="1"/>
  <c r="AE620" i="41"/>
  <c r="AC620" i="41"/>
  <c r="AA620" i="41"/>
  <c r="Q620" i="41"/>
  <c r="V620" i="41" s="1"/>
  <c r="P620" i="41"/>
  <c r="X620" i="41" s="1"/>
  <c r="AM619" i="41"/>
  <c r="AN619" i="41" s="1"/>
  <c r="AO619" i="41" s="1"/>
  <c r="AE619" i="41"/>
  <c r="AC619" i="41"/>
  <c r="AA619" i="41"/>
  <c r="Q619" i="41"/>
  <c r="V619" i="41" s="1"/>
  <c r="P619" i="41"/>
  <c r="X619" i="41" s="1"/>
  <c r="AM618" i="41"/>
  <c r="AN618" i="41" s="1"/>
  <c r="AO618" i="41" s="1"/>
  <c r="AE618" i="41"/>
  <c r="AC618" i="41"/>
  <c r="AA618" i="41"/>
  <c r="Q618" i="41"/>
  <c r="V618" i="41" s="1"/>
  <c r="P618" i="41"/>
  <c r="X618" i="41" s="1"/>
  <c r="AM617" i="41"/>
  <c r="AN617" i="41" s="1"/>
  <c r="AO617" i="41" s="1"/>
  <c r="AE617" i="41"/>
  <c r="AC617" i="41"/>
  <c r="AA617" i="41"/>
  <c r="Q617" i="41"/>
  <c r="V617" i="41" s="1"/>
  <c r="P617" i="41"/>
  <c r="X617" i="41" s="1"/>
  <c r="AM616" i="41"/>
  <c r="AN616" i="41" s="1"/>
  <c r="AO616" i="41" s="1"/>
  <c r="AE616" i="41"/>
  <c r="AC616" i="41"/>
  <c r="AA616" i="41"/>
  <c r="Q616" i="41"/>
  <c r="V616" i="41" s="1"/>
  <c r="P616" i="41"/>
  <c r="X616" i="41" s="1"/>
  <c r="AM615" i="41"/>
  <c r="AN615" i="41" s="1"/>
  <c r="AO615" i="41" s="1"/>
  <c r="AE615" i="41"/>
  <c r="AC615" i="41"/>
  <c r="AA615" i="41"/>
  <c r="Q615" i="41"/>
  <c r="V615" i="41" s="1"/>
  <c r="P615" i="41"/>
  <c r="X615" i="41" s="1"/>
  <c r="AM614" i="41"/>
  <c r="AN614" i="41" s="1"/>
  <c r="AO614" i="41" s="1"/>
  <c r="AE614" i="41"/>
  <c r="AC614" i="41"/>
  <c r="AA614" i="41"/>
  <c r="Q614" i="41"/>
  <c r="V614" i="41" s="1"/>
  <c r="P614" i="41"/>
  <c r="X614" i="41" s="1"/>
  <c r="AM613" i="41"/>
  <c r="AN613" i="41" s="1"/>
  <c r="AO613" i="41" s="1"/>
  <c r="AE613" i="41"/>
  <c r="AC613" i="41"/>
  <c r="AA613" i="41"/>
  <c r="Q613" i="41"/>
  <c r="V613" i="41" s="1"/>
  <c r="P613" i="41"/>
  <c r="X613" i="41" s="1"/>
  <c r="AM612" i="41"/>
  <c r="AN612" i="41" s="1"/>
  <c r="AO612" i="41" s="1"/>
  <c r="AE612" i="41"/>
  <c r="AC612" i="41"/>
  <c r="AA612" i="41"/>
  <c r="Q612" i="41"/>
  <c r="V612" i="41" s="1"/>
  <c r="P612" i="41"/>
  <c r="X612" i="41" s="1"/>
  <c r="AM611" i="41"/>
  <c r="AN611" i="41" s="1"/>
  <c r="AO611" i="41" s="1"/>
  <c r="AE611" i="41"/>
  <c r="AC611" i="41"/>
  <c r="AA611" i="41"/>
  <c r="Q611" i="41"/>
  <c r="V611" i="41" s="1"/>
  <c r="P611" i="41"/>
  <c r="X611" i="41" s="1"/>
  <c r="AM610" i="41"/>
  <c r="AN610" i="41" s="1"/>
  <c r="AO610" i="41" s="1"/>
  <c r="AE610" i="41"/>
  <c r="AC610" i="41"/>
  <c r="AA610" i="41"/>
  <c r="Q610" i="41"/>
  <c r="V610" i="41" s="1"/>
  <c r="P610" i="41"/>
  <c r="X610" i="41" s="1"/>
  <c r="AM609" i="41"/>
  <c r="AN609" i="41" s="1"/>
  <c r="AO609" i="41" s="1"/>
  <c r="AE609" i="41"/>
  <c r="AC609" i="41"/>
  <c r="AA609" i="41"/>
  <c r="Q609" i="41"/>
  <c r="V609" i="41" s="1"/>
  <c r="P609" i="41"/>
  <c r="X609" i="41" s="1"/>
  <c r="AM608" i="41"/>
  <c r="AN608" i="41" s="1"/>
  <c r="AO608" i="41" s="1"/>
  <c r="AE608" i="41"/>
  <c r="AC608" i="41"/>
  <c r="AA608" i="41"/>
  <c r="Q608" i="41"/>
  <c r="V608" i="41" s="1"/>
  <c r="P608" i="41"/>
  <c r="X608" i="41" s="1"/>
  <c r="AM607" i="41"/>
  <c r="AN607" i="41" s="1"/>
  <c r="AO607" i="41" s="1"/>
  <c r="AE607" i="41"/>
  <c r="AC607" i="41"/>
  <c r="AA607" i="41"/>
  <c r="Q607" i="41"/>
  <c r="V607" i="41" s="1"/>
  <c r="P607" i="41"/>
  <c r="X607" i="41" s="1"/>
  <c r="AM606" i="41"/>
  <c r="AN606" i="41" s="1"/>
  <c r="AO606" i="41" s="1"/>
  <c r="AE606" i="41"/>
  <c r="AC606" i="41"/>
  <c r="AA606" i="41"/>
  <c r="Q606" i="41"/>
  <c r="V606" i="41" s="1"/>
  <c r="P606" i="41"/>
  <c r="X606" i="41" s="1"/>
  <c r="AM605" i="41"/>
  <c r="AN605" i="41" s="1"/>
  <c r="AO605" i="41" s="1"/>
  <c r="AE605" i="41"/>
  <c r="AC605" i="41"/>
  <c r="AA605" i="41"/>
  <c r="Q605" i="41"/>
  <c r="V605" i="41" s="1"/>
  <c r="P605" i="41"/>
  <c r="X605" i="41" s="1"/>
  <c r="AM604" i="41"/>
  <c r="AN604" i="41" s="1"/>
  <c r="AO604" i="41" s="1"/>
  <c r="AE604" i="41"/>
  <c r="AC604" i="41"/>
  <c r="AA604" i="41"/>
  <c r="Q604" i="41"/>
  <c r="V604" i="41" s="1"/>
  <c r="P604" i="41"/>
  <c r="X604" i="41" s="1"/>
  <c r="AM603" i="41"/>
  <c r="AN603" i="41" s="1"/>
  <c r="AO603" i="41" s="1"/>
  <c r="AE603" i="41"/>
  <c r="AC603" i="41"/>
  <c r="AA603" i="41"/>
  <c r="Q603" i="41"/>
  <c r="V603" i="41" s="1"/>
  <c r="P603" i="41"/>
  <c r="X603" i="41" s="1"/>
  <c r="AM602" i="41"/>
  <c r="AN602" i="41" s="1"/>
  <c r="AO602" i="41" s="1"/>
  <c r="AE602" i="41"/>
  <c r="AC602" i="41"/>
  <c r="AA602" i="41"/>
  <c r="Q602" i="41"/>
  <c r="V602" i="41" s="1"/>
  <c r="P602" i="41"/>
  <c r="X602" i="41" s="1"/>
  <c r="AM601" i="41"/>
  <c r="AN601" i="41" s="1"/>
  <c r="AO601" i="41" s="1"/>
  <c r="AE601" i="41"/>
  <c r="AC601" i="41"/>
  <c r="AA601" i="41"/>
  <c r="Q601" i="41"/>
  <c r="V601" i="41" s="1"/>
  <c r="P601" i="41"/>
  <c r="X601" i="41" s="1"/>
  <c r="AM600" i="41"/>
  <c r="AN600" i="41" s="1"/>
  <c r="AO600" i="41" s="1"/>
  <c r="AE600" i="41"/>
  <c r="AC600" i="41"/>
  <c r="AA600" i="41"/>
  <c r="Q600" i="41"/>
  <c r="V600" i="41" s="1"/>
  <c r="P600" i="41"/>
  <c r="X600" i="41" s="1"/>
  <c r="AM599" i="41"/>
  <c r="AN599" i="41" s="1"/>
  <c r="AO599" i="41" s="1"/>
  <c r="AE599" i="41"/>
  <c r="AC599" i="41"/>
  <c r="AA599" i="41"/>
  <c r="Q599" i="41"/>
  <c r="V599" i="41" s="1"/>
  <c r="P599" i="41"/>
  <c r="X599" i="41" s="1"/>
  <c r="AM598" i="41"/>
  <c r="AN598" i="41" s="1"/>
  <c r="AO598" i="41" s="1"/>
  <c r="AE598" i="41"/>
  <c r="AC598" i="41"/>
  <c r="AA598" i="41"/>
  <c r="Q598" i="41"/>
  <c r="V598" i="41" s="1"/>
  <c r="P598" i="41"/>
  <c r="X598" i="41" s="1"/>
  <c r="AM597" i="41"/>
  <c r="AN597" i="41" s="1"/>
  <c r="AO597" i="41" s="1"/>
  <c r="AE597" i="41"/>
  <c r="AC597" i="41"/>
  <c r="AA597" i="41"/>
  <c r="Q597" i="41"/>
  <c r="V597" i="41" s="1"/>
  <c r="P597" i="41"/>
  <c r="X597" i="41" s="1"/>
  <c r="AM596" i="41"/>
  <c r="AN596" i="41" s="1"/>
  <c r="AO596" i="41" s="1"/>
  <c r="AE596" i="41"/>
  <c r="AC596" i="41"/>
  <c r="AA596" i="41"/>
  <c r="Q596" i="41"/>
  <c r="V596" i="41" s="1"/>
  <c r="P596" i="41"/>
  <c r="X596" i="41" s="1"/>
  <c r="AM595" i="41"/>
  <c r="AN595" i="41" s="1"/>
  <c r="AO595" i="41" s="1"/>
  <c r="AE595" i="41"/>
  <c r="AC595" i="41"/>
  <c r="AA595" i="41"/>
  <c r="Q595" i="41"/>
  <c r="V595" i="41" s="1"/>
  <c r="P595" i="41"/>
  <c r="X595" i="41" s="1"/>
  <c r="AM594" i="41"/>
  <c r="AN594" i="41" s="1"/>
  <c r="AO594" i="41" s="1"/>
  <c r="AE594" i="41"/>
  <c r="AC594" i="41"/>
  <c r="AA594" i="41"/>
  <c r="Q594" i="41"/>
  <c r="V594" i="41" s="1"/>
  <c r="P594" i="41"/>
  <c r="X594" i="41" s="1"/>
  <c r="AM593" i="41"/>
  <c r="AN593" i="41" s="1"/>
  <c r="AO593" i="41" s="1"/>
  <c r="AE593" i="41"/>
  <c r="AC593" i="41"/>
  <c r="AA593" i="41"/>
  <c r="Q593" i="41"/>
  <c r="V593" i="41" s="1"/>
  <c r="P593" i="41"/>
  <c r="X593" i="41" s="1"/>
  <c r="AM592" i="41"/>
  <c r="AN592" i="41" s="1"/>
  <c r="AO592" i="41" s="1"/>
  <c r="AE592" i="41"/>
  <c r="AC592" i="41"/>
  <c r="AA592" i="41"/>
  <c r="Q592" i="41"/>
  <c r="V592" i="41" s="1"/>
  <c r="P592" i="41"/>
  <c r="X592" i="41" s="1"/>
  <c r="AM591" i="41"/>
  <c r="AN591" i="41" s="1"/>
  <c r="AO591" i="41" s="1"/>
  <c r="AE591" i="41"/>
  <c r="AC591" i="41"/>
  <c r="AA591" i="41"/>
  <c r="Q591" i="41"/>
  <c r="V591" i="41" s="1"/>
  <c r="P591" i="41"/>
  <c r="X591" i="41" s="1"/>
  <c r="AM590" i="41"/>
  <c r="AN590" i="41" s="1"/>
  <c r="AO590" i="41" s="1"/>
  <c r="AE590" i="41"/>
  <c r="AC590" i="41"/>
  <c r="AA590" i="41"/>
  <c r="Q590" i="41"/>
  <c r="V590" i="41" s="1"/>
  <c r="P590" i="41"/>
  <c r="X590" i="41" s="1"/>
  <c r="AM589" i="41"/>
  <c r="AN589" i="41" s="1"/>
  <c r="AO589" i="41" s="1"/>
  <c r="AE589" i="41"/>
  <c r="AC589" i="41"/>
  <c r="AA589" i="41"/>
  <c r="Q589" i="41"/>
  <c r="V589" i="41" s="1"/>
  <c r="P589" i="41"/>
  <c r="X589" i="41" s="1"/>
  <c r="AM588" i="41"/>
  <c r="AN588" i="41" s="1"/>
  <c r="AO588" i="41" s="1"/>
  <c r="AE588" i="41"/>
  <c r="AC588" i="41"/>
  <c r="AA588" i="41"/>
  <c r="Q588" i="41"/>
  <c r="V588" i="41" s="1"/>
  <c r="P588" i="41"/>
  <c r="X588" i="41" s="1"/>
  <c r="AM587" i="41"/>
  <c r="AN587" i="41" s="1"/>
  <c r="AO587" i="41" s="1"/>
  <c r="AE587" i="41"/>
  <c r="AC587" i="41"/>
  <c r="AA587" i="41"/>
  <c r="Q587" i="41"/>
  <c r="V587" i="41" s="1"/>
  <c r="P587" i="41"/>
  <c r="X587" i="41" s="1"/>
  <c r="AM586" i="41"/>
  <c r="AN586" i="41" s="1"/>
  <c r="AO586" i="41" s="1"/>
  <c r="AE586" i="41"/>
  <c r="AC586" i="41"/>
  <c r="AA586" i="41"/>
  <c r="Q586" i="41"/>
  <c r="V586" i="41" s="1"/>
  <c r="P586" i="41"/>
  <c r="X586" i="41" s="1"/>
  <c r="AM585" i="41"/>
  <c r="AN585" i="41" s="1"/>
  <c r="AO585" i="41" s="1"/>
  <c r="AE585" i="41"/>
  <c r="AC585" i="41"/>
  <c r="AA585" i="41"/>
  <c r="Q585" i="41"/>
  <c r="V585" i="41" s="1"/>
  <c r="P585" i="41"/>
  <c r="X585" i="41" s="1"/>
  <c r="AM584" i="41"/>
  <c r="AN584" i="41" s="1"/>
  <c r="AO584" i="41" s="1"/>
  <c r="AE584" i="41"/>
  <c r="AC584" i="41"/>
  <c r="AA584" i="41"/>
  <c r="Q584" i="41"/>
  <c r="V584" i="41" s="1"/>
  <c r="P584" i="41"/>
  <c r="X584" i="41" s="1"/>
  <c r="AM583" i="41"/>
  <c r="AN583" i="41" s="1"/>
  <c r="AO583" i="41" s="1"/>
  <c r="AE583" i="41"/>
  <c r="AC583" i="41"/>
  <c r="AA583" i="41"/>
  <c r="Q583" i="41"/>
  <c r="V583" i="41" s="1"/>
  <c r="P583" i="41"/>
  <c r="X583" i="41" s="1"/>
  <c r="AM582" i="41"/>
  <c r="AN582" i="41" s="1"/>
  <c r="AO582" i="41" s="1"/>
  <c r="AE582" i="41"/>
  <c r="AC582" i="41"/>
  <c r="AA582" i="41"/>
  <c r="Q582" i="41"/>
  <c r="V582" i="41" s="1"/>
  <c r="P582" i="41"/>
  <c r="X582" i="41" s="1"/>
  <c r="AM581" i="41"/>
  <c r="AN581" i="41" s="1"/>
  <c r="AO581" i="41" s="1"/>
  <c r="AE581" i="41"/>
  <c r="AC581" i="41"/>
  <c r="AA581" i="41"/>
  <c r="Q581" i="41"/>
  <c r="V581" i="41" s="1"/>
  <c r="P581" i="41"/>
  <c r="X581" i="41" s="1"/>
  <c r="AM580" i="41"/>
  <c r="AN580" i="41" s="1"/>
  <c r="AO580" i="41" s="1"/>
  <c r="AE580" i="41"/>
  <c r="AC580" i="41"/>
  <c r="AA580" i="41"/>
  <c r="Q580" i="41"/>
  <c r="V580" i="41" s="1"/>
  <c r="P580" i="41"/>
  <c r="X580" i="41" s="1"/>
  <c r="AM579" i="41"/>
  <c r="AN579" i="41" s="1"/>
  <c r="AO579" i="41" s="1"/>
  <c r="AE579" i="41"/>
  <c r="AC579" i="41"/>
  <c r="AA579" i="41"/>
  <c r="Q579" i="41"/>
  <c r="V579" i="41" s="1"/>
  <c r="P579" i="41"/>
  <c r="X579" i="41" s="1"/>
  <c r="AM578" i="41"/>
  <c r="AN578" i="41" s="1"/>
  <c r="AO578" i="41" s="1"/>
  <c r="AE578" i="41"/>
  <c r="AC578" i="41"/>
  <c r="AA578" i="41"/>
  <c r="Q578" i="41"/>
  <c r="V578" i="41" s="1"/>
  <c r="P578" i="41"/>
  <c r="X578" i="41" s="1"/>
  <c r="AM577" i="41"/>
  <c r="AN577" i="41" s="1"/>
  <c r="AO577" i="41" s="1"/>
  <c r="AE577" i="41"/>
  <c r="AC577" i="41"/>
  <c r="AA577" i="41"/>
  <c r="Q577" i="41"/>
  <c r="V577" i="41" s="1"/>
  <c r="P577" i="41"/>
  <c r="X577" i="41" s="1"/>
  <c r="AM576" i="41"/>
  <c r="AN576" i="41" s="1"/>
  <c r="AO576" i="41" s="1"/>
  <c r="AE576" i="41"/>
  <c r="AC576" i="41"/>
  <c r="AA576" i="41"/>
  <c r="Q576" i="41"/>
  <c r="V576" i="41" s="1"/>
  <c r="P576" i="41"/>
  <c r="X576" i="41" s="1"/>
  <c r="AM575" i="41"/>
  <c r="AN575" i="41" s="1"/>
  <c r="AO575" i="41" s="1"/>
  <c r="AE575" i="41"/>
  <c r="AC575" i="41"/>
  <c r="AA575" i="41"/>
  <c r="Q575" i="41"/>
  <c r="V575" i="41" s="1"/>
  <c r="P575" i="41"/>
  <c r="X575" i="41" s="1"/>
  <c r="AM574" i="41"/>
  <c r="AN574" i="41" s="1"/>
  <c r="AO574" i="41" s="1"/>
  <c r="AE574" i="41"/>
  <c r="AC574" i="41"/>
  <c r="AA574" i="41"/>
  <c r="Q574" i="41"/>
  <c r="V574" i="41" s="1"/>
  <c r="P574" i="41"/>
  <c r="X574" i="41" s="1"/>
  <c r="AM573" i="41"/>
  <c r="AN573" i="41" s="1"/>
  <c r="AO573" i="41" s="1"/>
  <c r="AE573" i="41"/>
  <c r="AC573" i="41"/>
  <c r="AA573" i="41"/>
  <c r="Q573" i="41"/>
  <c r="V573" i="41" s="1"/>
  <c r="P573" i="41"/>
  <c r="X573" i="41" s="1"/>
  <c r="AM572" i="41"/>
  <c r="AN572" i="41" s="1"/>
  <c r="AO572" i="41" s="1"/>
  <c r="AE572" i="41"/>
  <c r="AC572" i="41"/>
  <c r="AA572" i="41"/>
  <c r="Q572" i="41"/>
  <c r="V572" i="41" s="1"/>
  <c r="P572" i="41"/>
  <c r="X572" i="41" s="1"/>
  <c r="AM571" i="41"/>
  <c r="AN571" i="41" s="1"/>
  <c r="AO571" i="41" s="1"/>
  <c r="AE571" i="41"/>
  <c r="AC571" i="41"/>
  <c r="AA571" i="41"/>
  <c r="Q571" i="41"/>
  <c r="V571" i="41" s="1"/>
  <c r="P571" i="41"/>
  <c r="X571" i="41" s="1"/>
  <c r="AM570" i="41"/>
  <c r="AN570" i="41" s="1"/>
  <c r="AO570" i="41" s="1"/>
  <c r="AE570" i="41"/>
  <c r="AC570" i="41"/>
  <c r="AA570" i="41"/>
  <c r="Q570" i="41"/>
  <c r="V570" i="41" s="1"/>
  <c r="P570" i="41"/>
  <c r="X570" i="41" s="1"/>
  <c r="AM569" i="41"/>
  <c r="AN569" i="41" s="1"/>
  <c r="AO569" i="41" s="1"/>
  <c r="AE569" i="41"/>
  <c r="AC569" i="41"/>
  <c r="AA569" i="41"/>
  <c r="Q569" i="41"/>
  <c r="V569" i="41" s="1"/>
  <c r="P569" i="41"/>
  <c r="X569" i="41" s="1"/>
  <c r="AM568" i="41"/>
  <c r="AN568" i="41" s="1"/>
  <c r="AO568" i="41" s="1"/>
  <c r="AE568" i="41"/>
  <c r="AC568" i="41"/>
  <c r="AA568" i="41"/>
  <c r="Q568" i="41"/>
  <c r="V568" i="41" s="1"/>
  <c r="P568" i="41"/>
  <c r="X568" i="41" s="1"/>
  <c r="AM567" i="41"/>
  <c r="AN567" i="41" s="1"/>
  <c r="AO567" i="41" s="1"/>
  <c r="AE567" i="41"/>
  <c r="AC567" i="41"/>
  <c r="AA567" i="41"/>
  <c r="Q567" i="41"/>
  <c r="V567" i="41" s="1"/>
  <c r="P567" i="41"/>
  <c r="X567" i="41" s="1"/>
  <c r="AM566" i="41"/>
  <c r="AN566" i="41" s="1"/>
  <c r="AO566" i="41" s="1"/>
  <c r="AE566" i="41"/>
  <c r="AC566" i="41"/>
  <c r="AA566" i="41"/>
  <c r="Q566" i="41"/>
  <c r="V566" i="41" s="1"/>
  <c r="P566" i="41"/>
  <c r="X566" i="41" s="1"/>
  <c r="AM565" i="41"/>
  <c r="AN565" i="41" s="1"/>
  <c r="AO565" i="41" s="1"/>
  <c r="AE565" i="41"/>
  <c r="AC565" i="41"/>
  <c r="AA565" i="41"/>
  <c r="Q565" i="41"/>
  <c r="V565" i="41" s="1"/>
  <c r="P565" i="41"/>
  <c r="X565" i="41" s="1"/>
  <c r="AM564" i="41"/>
  <c r="AN564" i="41" s="1"/>
  <c r="AO564" i="41" s="1"/>
  <c r="AE564" i="41"/>
  <c r="AC564" i="41"/>
  <c r="AA564" i="41"/>
  <c r="Q564" i="41"/>
  <c r="V564" i="41" s="1"/>
  <c r="P564" i="41"/>
  <c r="X564" i="41" s="1"/>
  <c r="AM563" i="41"/>
  <c r="AN563" i="41" s="1"/>
  <c r="AO563" i="41" s="1"/>
  <c r="AE563" i="41"/>
  <c r="AC563" i="41"/>
  <c r="AA563" i="41"/>
  <c r="Q563" i="41"/>
  <c r="V563" i="41" s="1"/>
  <c r="P563" i="41"/>
  <c r="X563" i="41" s="1"/>
  <c r="AM562" i="41"/>
  <c r="AN562" i="41" s="1"/>
  <c r="AO562" i="41" s="1"/>
  <c r="AE562" i="41"/>
  <c r="AC562" i="41"/>
  <c r="AA562" i="41"/>
  <c r="Q562" i="41"/>
  <c r="V562" i="41" s="1"/>
  <c r="P562" i="41"/>
  <c r="X562" i="41" s="1"/>
  <c r="AM561" i="41"/>
  <c r="AN561" i="41" s="1"/>
  <c r="AO561" i="41" s="1"/>
  <c r="AE561" i="41"/>
  <c r="AC561" i="41"/>
  <c r="AA561" i="41"/>
  <c r="Q561" i="41"/>
  <c r="V561" i="41" s="1"/>
  <c r="P561" i="41"/>
  <c r="X561" i="41" s="1"/>
  <c r="AM560" i="41"/>
  <c r="AN560" i="41" s="1"/>
  <c r="AO560" i="41" s="1"/>
  <c r="AE560" i="41"/>
  <c r="AC560" i="41"/>
  <c r="AA560" i="41"/>
  <c r="Q560" i="41"/>
  <c r="V560" i="41" s="1"/>
  <c r="P560" i="41"/>
  <c r="X560" i="41" s="1"/>
  <c r="AM559" i="41"/>
  <c r="AN559" i="41" s="1"/>
  <c r="AO559" i="41" s="1"/>
  <c r="AE559" i="41"/>
  <c r="AC559" i="41"/>
  <c r="AA559" i="41"/>
  <c r="Q559" i="41"/>
  <c r="V559" i="41" s="1"/>
  <c r="P559" i="41"/>
  <c r="X559" i="41" s="1"/>
  <c r="AM558" i="41"/>
  <c r="AN558" i="41" s="1"/>
  <c r="AO558" i="41" s="1"/>
  <c r="AE558" i="41"/>
  <c r="AC558" i="41"/>
  <c r="AA558" i="41"/>
  <c r="Q558" i="41"/>
  <c r="V558" i="41" s="1"/>
  <c r="P558" i="41"/>
  <c r="X558" i="41" s="1"/>
  <c r="AM557" i="41"/>
  <c r="AN557" i="41" s="1"/>
  <c r="AO557" i="41" s="1"/>
  <c r="AE557" i="41"/>
  <c r="AC557" i="41"/>
  <c r="AA557" i="41"/>
  <c r="Q557" i="41"/>
  <c r="V557" i="41" s="1"/>
  <c r="P557" i="41"/>
  <c r="X557" i="41" s="1"/>
  <c r="AM556" i="41"/>
  <c r="AN556" i="41" s="1"/>
  <c r="AO556" i="41" s="1"/>
  <c r="AE556" i="41"/>
  <c r="AC556" i="41"/>
  <c r="AA556" i="41"/>
  <c r="Q556" i="41"/>
  <c r="V556" i="41" s="1"/>
  <c r="P556" i="41"/>
  <c r="X556" i="41" s="1"/>
  <c r="AM555" i="41"/>
  <c r="AN555" i="41" s="1"/>
  <c r="AO555" i="41" s="1"/>
  <c r="AE555" i="41"/>
  <c r="AC555" i="41"/>
  <c r="AA555" i="41"/>
  <c r="Q555" i="41"/>
  <c r="V555" i="41" s="1"/>
  <c r="P555" i="41"/>
  <c r="X555" i="41" s="1"/>
  <c r="AM554" i="41"/>
  <c r="AN554" i="41" s="1"/>
  <c r="AO554" i="41" s="1"/>
  <c r="AE554" i="41"/>
  <c r="AC554" i="41"/>
  <c r="AA554" i="41"/>
  <c r="Q554" i="41"/>
  <c r="V554" i="41" s="1"/>
  <c r="P554" i="41"/>
  <c r="X554" i="41" s="1"/>
  <c r="AM553" i="41"/>
  <c r="AN553" i="41" s="1"/>
  <c r="AO553" i="41" s="1"/>
  <c r="AE553" i="41"/>
  <c r="AC553" i="41"/>
  <c r="AA553" i="41"/>
  <c r="Q553" i="41"/>
  <c r="V553" i="41" s="1"/>
  <c r="P553" i="41"/>
  <c r="X553" i="41" s="1"/>
  <c r="AM552" i="41"/>
  <c r="AN552" i="41" s="1"/>
  <c r="AO552" i="41" s="1"/>
  <c r="AE552" i="41"/>
  <c r="AC552" i="41"/>
  <c r="AA552" i="41"/>
  <c r="Q552" i="41"/>
  <c r="V552" i="41" s="1"/>
  <c r="P552" i="41"/>
  <c r="X552" i="41" s="1"/>
  <c r="AM551" i="41"/>
  <c r="AN551" i="41" s="1"/>
  <c r="AO551" i="41" s="1"/>
  <c r="AE551" i="41"/>
  <c r="AC551" i="41"/>
  <c r="AA551" i="41"/>
  <c r="Q551" i="41"/>
  <c r="V551" i="41" s="1"/>
  <c r="P551" i="41"/>
  <c r="X551" i="41" s="1"/>
  <c r="AM550" i="41"/>
  <c r="AN550" i="41" s="1"/>
  <c r="AO550" i="41" s="1"/>
  <c r="AE550" i="41"/>
  <c r="AC550" i="41"/>
  <c r="AA550" i="41"/>
  <c r="Q550" i="41"/>
  <c r="V550" i="41" s="1"/>
  <c r="P550" i="41"/>
  <c r="X550" i="41" s="1"/>
  <c r="AM549" i="41"/>
  <c r="AN549" i="41" s="1"/>
  <c r="AO549" i="41" s="1"/>
  <c r="AE549" i="41"/>
  <c r="AC549" i="41"/>
  <c r="AA549" i="41"/>
  <c r="Q549" i="41"/>
  <c r="V549" i="41" s="1"/>
  <c r="P549" i="41"/>
  <c r="X549" i="41" s="1"/>
  <c r="AM548" i="41"/>
  <c r="AN548" i="41" s="1"/>
  <c r="AO548" i="41" s="1"/>
  <c r="AE548" i="41"/>
  <c r="AC548" i="41"/>
  <c r="AA548" i="41"/>
  <c r="Q548" i="41"/>
  <c r="V548" i="41" s="1"/>
  <c r="P548" i="41"/>
  <c r="X548" i="41" s="1"/>
  <c r="AM547" i="41"/>
  <c r="AN547" i="41" s="1"/>
  <c r="AO547" i="41" s="1"/>
  <c r="AE547" i="41"/>
  <c r="AC547" i="41"/>
  <c r="AA547" i="41"/>
  <c r="Q547" i="41"/>
  <c r="V547" i="41" s="1"/>
  <c r="P547" i="41"/>
  <c r="X547" i="41" s="1"/>
  <c r="AM546" i="41"/>
  <c r="AN546" i="41" s="1"/>
  <c r="AO546" i="41" s="1"/>
  <c r="AE546" i="41"/>
  <c r="AC546" i="41"/>
  <c r="AA546" i="41"/>
  <c r="Q546" i="41"/>
  <c r="V546" i="41" s="1"/>
  <c r="P546" i="41"/>
  <c r="X546" i="41" s="1"/>
  <c r="AM545" i="41"/>
  <c r="AN545" i="41" s="1"/>
  <c r="AO545" i="41" s="1"/>
  <c r="AE545" i="41"/>
  <c r="AC545" i="41"/>
  <c r="AA545" i="41"/>
  <c r="Q545" i="41"/>
  <c r="V545" i="41" s="1"/>
  <c r="P545" i="41"/>
  <c r="X545" i="41" s="1"/>
  <c r="AM544" i="41"/>
  <c r="AN544" i="41" s="1"/>
  <c r="AO544" i="41" s="1"/>
  <c r="AE544" i="41"/>
  <c r="AC544" i="41"/>
  <c r="AA544" i="41"/>
  <c r="Q544" i="41"/>
  <c r="V544" i="41" s="1"/>
  <c r="P544" i="41"/>
  <c r="X544" i="41" s="1"/>
  <c r="AM543" i="41"/>
  <c r="AN543" i="41" s="1"/>
  <c r="AO543" i="41" s="1"/>
  <c r="AE543" i="41"/>
  <c r="AC543" i="41"/>
  <c r="AA543" i="41"/>
  <c r="Q543" i="41"/>
  <c r="V543" i="41" s="1"/>
  <c r="P543" i="41"/>
  <c r="X543" i="41" s="1"/>
  <c r="AM542" i="41"/>
  <c r="AN542" i="41" s="1"/>
  <c r="AO542" i="41" s="1"/>
  <c r="AE542" i="41"/>
  <c r="AC542" i="41"/>
  <c r="AA542" i="41"/>
  <c r="Q542" i="41"/>
  <c r="V542" i="41" s="1"/>
  <c r="P542" i="41"/>
  <c r="X542" i="41" s="1"/>
  <c r="AM541" i="41"/>
  <c r="AN541" i="41" s="1"/>
  <c r="AO541" i="41" s="1"/>
  <c r="AE541" i="41"/>
  <c r="AC541" i="41"/>
  <c r="AA541" i="41"/>
  <c r="Q541" i="41"/>
  <c r="V541" i="41" s="1"/>
  <c r="P541" i="41"/>
  <c r="X541" i="41" s="1"/>
  <c r="AM540" i="41"/>
  <c r="AN540" i="41" s="1"/>
  <c r="AO540" i="41" s="1"/>
  <c r="AE540" i="41"/>
  <c r="AC540" i="41"/>
  <c r="AA540" i="41"/>
  <c r="Q540" i="41"/>
  <c r="V540" i="41" s="1"/>
  <c r="P540" i="41"/>
  <c r="X540" i="41" s="1"/>
  <c r="AM539" i="41"/>
  <c r="AN539" i="41" s="1"/>
  <c r="AO539" i="41" s="1"/>
  <c r="AE539" i="41"/>
  <c r="AC539" i="41"/>
  <c r="AA539" i="41"/>
  <c r="Q539" i="41"/>
  <c r="V539" i="41" s="1"/>
  <c r="P539" i="41"/>
  <c r="X539" i="41" s="1"/>
  <c r="AM538" i="41"/>
  <c r="AN538" i="41" s="1"/>
  <c r="AO538" i="41" s="1"/>
  <c r="AE538" i="41"/>
  <c r="AC538" i="41"/>
  <c r="AA538" i="41"/>
  <c r="Q538" i="41"/>
  <c r="V538" i="41" s="1"/>
  <c r="P538" i="41"/>
  <c r="X538" i="41" s="1"/>
  <c r="AM537" i="41"/>
  <c r="AN537" i="41" s="1"/>
  <c r="AO537" i="41" s="1"/>
  <c r="AE537" i="41"/>
  <c r="AC537" i="41"/>
  <c r="AA537" i="41"/>
  <c r="Q537" i="41"/>
  <c r="V537" i="41" s="1"/>
  <c r="P537" i="41"/>
  <c r="X537" i="41" s="1"/>
  <c r="AM536" i="41"/>
  <c r="AN536" i="41" s="1"/>
  <c r="AO536" i="41" s="1"/>
  <c r="AE536" i="41"/>
  <c r="AC536" i="41"/>
  <c r="AA536" i="41"/>
  <c r="Q536" i="41"/>
  <c r="P536" i="41"/>
  <c r="X536" i="41" s="1"/>
  <c r="AM535" i="41"/>
  <c r="AN535" i="41" s="1"/>
  <c r="AO535" i="41" s="1"/>
  <c r="AE535" i="41"/>
  <c r="AC535" i="41"/>
  <c r="AA535" i="41"/>
  <c r="Q535" i="41"/>
  <c r="P535" i="41"/>
  <c r="X535" i="41" s="1"/>
  <c r="AM534" i="41"/>
  <c r="AN534" i="41" s="1"/>
  <c r="AO534" i="41" s="1"/>
  <c r="AE534" i="41"/>
  <c r="AC534" i="41"/>
  <c r="AA534" i="41"/>
  <c r="Q534" i="41"/>
  <c r="P534" i="41"/>
  <c r="X534" i="41" s="1"/>
  <c r="AM533" i="41"/>
  <c r="AN533" i="41" s="1"/>
  <c r="AO533" i="41" s="1"/>
  <c r="AE533" i="41"/>
  <c r="AC533" i="41"/>
  <c r="AA533" i="41"/>
  <c r="Q533" i="41"/>
  <c r="P533" i="41"/>
  <c r="X533" i="41" s="1"/>
  <c r="AM532" i="41"/>
  <c r="AN532" i="41" s="1"/>
  <c r="AO532" i="41" s="1"/>
  <c r="AE532" i="41"/>
  <c r="AC532" i="41"/>
  <c r="AA532" i="41"/>
  <c r="Q532" i="41"/>
  <c r="P532" i="41"/>
  <c r="X532" i="41" s="1"/>
  <c r="AM378" i="41"/>
  <c r="AF525" i="41" l="1"/>
  <c r="AH525" i="41" s="1"/>
  <c r="AI525" i="41" s="1"/>
  <c r="AF527" i="41"/>
  <c r="AH527" i="41" s="1"/>
  <c r="AI527" i="41" s="1"/>
  <c r="AF528" i="41"/>
  <c r="AH528" i="41" s="1"/>
  <c r="AI528" i="41" s="1"/>
  <c r="AG516" i="41"/>
  <c r="AG521" i="41"/>
  <c r="AG525" i="41"/>
  <c r="AG517" i="41"/>
  <c r="AG523" i="41"/>
  <c r="AE526" i="41"/>
  <c r="AF514" i="41"/>
  <c r="AH514" i="41" s="1"/>
  <c r="AI514" i="41" s="1"/>
  <c r="AF515" i="41"/>
  <c r="AH515" i="41" s="1"/>
  <c r="AI515" i="41" s="1"/>
  <c r="AF516" i="41"/>
  <c r="AF517" i="41"/>
  <c r="AH517" i="41" s="1"/>
  <c r="AI517" i="41" s="1"/>
  <c r="AF518" i="41"/>
  <c r="AH518" i="41" s="1"/>
  <c r="AI518" i="41" s="1"/>
  <c r="AF519" i="41"/>
  <c r="AH519" i="41" s="1"/>
  <c r="AI519" i="41" s="1"/>
  <c r="AF520" i="41"/>
  <c r="AF521" i="41"/>
  <c r="AH521" i="41" s="1"/>
  <c r="AI521" i="41" s="1"/>
  <c r="AF522" i="41"/>
  <c r="AF523" i="41"/>
  <c r="AE524" i="41"/>
  <c r="AC526" i="41"/>
  <c r="AF526" i="41" s="1"/>
  <c r="AG514" i="41"/>
  <c r="AG515" i="41"/>
  <c r="AG518" i="41"/>
  <c r="AG519" i="41"/>
  <c r="AG520" i="41"/>
  <c r="AG522" i="41"/>
  <c r="AC524" i="41"/>
  <c r="AA526" i="41"/>
  <c r="AG527" i="41"/>
  <c r="AG528" i="41"/>
  <c r="V530" i="41"/>
  <c r="AF585" i="41"/>
  <c r="AH585" i="41" s="1"/>
  <c r="AI585" i="41" s="1"/>
  <c r="AF599" i="41"/>
  <c r="AH599" i="41" s="1"/>
  <c r="AI599" i="41" s="1"/>
  <c r="AF603" i="41"/>
  <c r="AH603" i="41" s="1"/>
  <c r="AI603" i="41" s="1"/>
  <c r="AF609" i="41"/>
  <c r="AH609" i="41" s="1"/>
  <c r="AI609" i="41" s="1"/>
  <c r="AF625" i="41"/>
  <c r="AH625" i="41" s="1"/>
  <c r="AI625" i="41" s="1"/>
  <c r="AG548" i="41"/>
  <c r="AF573" i="41"/>
  <c r="AH573" i="41" s="1"/>
  <c r="AI573" i="41" s="1"/>
  <c r="AG540" i="41"/>
  <c r="AG580" i="41"/>
  <c r="AG612" i="41"/>
  <c r="AG614" i="41"/>
  <c r="AG620" i="41"/>
  <c r="AF569" i="41"/>
  <c r="AF534" i="41"/>
  <c r="AH534" i="41" s="1"/>
  <c r="AI534" i="41" s="1"/>
  <c r="AF553" i="41"/>
  <c r="AH553" i="41" s="1"/>
  <c r="AI553" i="41" s="1"/>
  <c r="AF557" i="41"/>
  <c r="AH557" i="41" s="1"/>
  <c r="AI557" i="41" s="1"/>
  <c r="AG604" i="41"/>
  <c r="AF567" i="41"/>
  <c r="AH567" i="41" s="1"/>
  <c r="AI567" i="41" s="1"/>
  <c r="AF581" i="41"/>
  <c r="AH581" i="41" s="1"/>
  <c r="AI581" i="41" s="1"/>
  <c r="AF589" i="41"/>
  <c r="AH589" i="41" s="1"/>
  <c r="AI589" i="41" s="1"/>
  <c r="AF605" i="41"/>
  <c r="AH605" i="41" s="1"/>
  <c r="AI605" i="41" s="1"/>
  <c r="AF549" i="41"/>
  <c r="AH549" i="41" s="1"/>
  <c r="AI549" i="41" s="1"/>
  <c r="AF551" i="41"/>
  <c r="AH551" i="41" s="1"/>
  <c r="AI551" i="41" s="1"/>
  <c r="AF577" i="41"/>
  <c r="AH577" i="41" s="1"/>
  <c r="AI577" i="41" s="1"/>
  <c r="AF617" i="41"/>
  <c r="AH617" i="41" s="1"/>
  <c r="AI617" i="41" s="1"/>
  <c r="AF583" i="41"/>
  <c r="AH583" i="41" s="1"/>
  <c r="AI583" i="41" s="1"/>
  <c r="AF571" i="41"/>
  <c r="AH571" i="41" s="1"/>
  <c r="AI571" i="41" s="1"/>
  <c r="AG588" i="41"/>
  <c r="AG596" i="41"/>
  <c r="AG598" i="41"/>
  <c r="AF536" i="41"/>
  <c r="AH536" i="41" s="1"/>
  <c r="AI536" i="41" s="1"/>
  <c r="AF545" i="41"/>
  <c r="AH545" i="41" s="1"/>
  <c r="AI545" i="41" s="1"/>
  <c r="AG550" i="41"/>
  <c r="AG556" i="41"/>
  <c r="AF561" i="41"/>
  <c r="AH561" i="41" s="1"/>
  <c r="AI561" i="41" s="1"/>
  <c r="AG564" i="41"/>
  <c r="AG566" i="41"/>
  <c r="AG572" i="41"/>
  <c r="AF597" i="41"/>
  <c r="AF601" i="41"/>
  <c r="AH601" i="41" s="1"/>
  <c r="AI601" i="41" s="1"/>
  <c r="AF613" i="41"/>
  <c r="AH613" i="41" s="1"/>
  <c r="AI613" i="41" s="1"/>
  <c r="AF615" i="41"/>
  <c r="AH615" i="41" s="1"/>
  <c r="AI615" i="41" s="1"/>
  <c r="AF621" i="41"/>
  <c r="AH621" i="41" s="1"/>
  <c r="AI621" i="41" s="1"/>
  <c r="AF623" i="41"/>
  <c r="AH623" i="41" s="1"/>
  <c r="AI623" i="41" s="1"/>
  <c r="AG582" i="41"/>
  <c r="AF593" i="41"/>
  <c r="AH593" i="41" s="1"/>
  <c r="AI593" i="41" s="1"/>
  <c r="AF565" i="41"/>
  <c r="AH565" i="41" s="1"/>
  <c r="AI565" i="41" s="1"/>
  <c r="AF532" i="41"/>
  <c r="AH532" i="41" s="1"/>
  <c r="AI532" i="41" s="1"/>
  <c r="AF538" i="41"/>
  <c r="AH538" i="41" s="1"/>
  <c r="AI538" i="41" s="1"/>
  <c r="AG542" i="41"/>
  <c r="AG558" i="41"/>
  <c r="AF575" i="41"/>
  <c r="AH575" i="41" s="1"/>
  <c r="AI575" i="41" s="1"/>
  <c r="AG590" i="41"/>
  <c r="AF607" i="41"/>
  <c r="AH607" i="41" s="1"/>
  <c r="AI607" i="41" s="1"/>
  <c r="AG622" i="41"/>
  <c r="AF619" i="41"/>
  <c r="AH619" i="41" s="1"/>
  <c r="AI619" i="41" s="1"/>
  <c r="AG541" i="41"/>
  <c r="AF559" i="41"/>
  <c r="AH559" i="41" s="1"/>
  <c r="AI559" i="41" s="1"/>
  <c r="AG574" i="41"/>
  <c r="AF591" i="41"/>
  <c r="AG606" i="41"/>
  <c r="AF540" i="41"/>
  <c r="AH540" i="41" s="1"/>
  <c r="AI540" i="41" s="1"/>
  <c r="AF541" i="41"/>
  <c r="AG552" i="41"/>
  <c r="AG584" i="41"/>
  <c r="AG600" i="41"/>
  <c r="AG608" i="41"/>
  <c r="AG624" i="41"/>
  <c r="AF554" i="41"/>
  <c r="AH554" i="41" s="1"/>
  <c r="AI554" i="41" s="1"/>
  <c r="AG554" i="41"/>
  <c r="AF533" i="41"/>
  <c r="AH533" i="41" s="1"/>
  <c r="AI533" i="41" s="1"/>
  <c r="AG533" i="41"/>
  <c r="AF535" i="41"/>
  <c r="AH535" i="41" s="1"/>
  <c r="AI535" i="41" s="1"/>
  <c r="AG535" i="41"/>
  <c r="AG537" i="41"/>
  <c r="AF537" i="41"/>
  <c r="AH537" i="41" s="1"/>
  <c r="AI537" i="41" s="1"/>
  <c r="AG539" i="41"/>
  <c r="AF539" i="41"/>
  <c r="AH539" i="41" s="1"/>
  <c r="AI539" i="41" s="1"/>
  <c r="AG547" i="41"/>
  <c r="AF547" i="41"/>
  <c r="AH547" i="41" s="1"/>
  <c r="AI547" i="41" s="1"/>
  <c r="AG555" i="41"/>
  <c r="AF555" i="41"/>
  <c r="AF543" i="41"/>
  <c r="AH543" i="41" s="1"/>
  <c r="AI543" i="41" s="1"/>
  <c r="AG543" i="41"/>
  <c r="AF546" i="41"/>
  <c r="AG546" i="41"/>
  <c r="AF562" i="41"/>
  <c r="AH562" i="41" s="1"/>
  <c r="AI562" i="41" s="1"/>
  <c r="AG562" i="41"/>
  <c r="AG563" i="41"/>
  <c r="AF578" i="41"/>
  <c r="AH578" i="41" s="1"/>
  <c r="AI578" i="41" s="1"/>
  <c r="AG579" i="41"/>
  <c r="AF586" i="41"/>
  <c r="AH586" i="41" s="1"/>
  <c r="AI586" i="41" s="1"/>
  <c r="AG587" i="41"/>
  <c r="AF594" i="41"/>
  <c r="AH594" i="41" s="1"/>
  <c r="AI594" i="41" s="1"/>
  <c r="AG595" i="41"/>
  <c r="AF610" i="41"/>
  <c r="AH610" i="41" s="1"/>
  <c r="AI610" i="41" s="1"/>
  <c r="AG611" i="41"/>
  <c r="AF618" i="41"/>
  <c r="AH618" i="41" s="1"/>
  <c r="AI618" i="41" s="1"/>
  <c r="AF544" i="41"/>
  <c r="AH544" i="41" s="1"/>
  <c r="AI544" i="41" s="1"/>
  <c r="AG545" i="41"/>
  <c r="AF560" i="41"/>
  <c r="AH560" i="41" s="1"/>
  <c r="AI560" i="41" s="1"/>
  <c r="AG561" i="41"/>
  <c r="AF568" i="41"/>
  <c r="AH568" i="41" s="1"/>
  <c r="AI568" i="41" s="1"/>
  <c r="AG569" i="41"/>
  <c r="AF576" i="41"/>
  <c r="AG577" i="41"/>
  <c r="AF592" i="41"/>
  <c r="AG593" i="41"/>
  <c r="AF616" i="41"/>
  <c r="AH616" i="41" s="1"/>
  <c r="AI616" i="41" s="1"/>
  <c r="AG617" i="41"/>
  <c r="AF550" i="41"/>
  <c r="AG551" i="41"/>
  <c r="AF542" i="41"/>
  <c r="AH542" i="41" s="1"/>
  <c r="AI542" i="41" s="1"/>
  <c r="AF548" i="41"/>
  <c r="AH548" i="41" s="1"/>
  <c r="AI548" i="41" s="1"/>
  <c r="AG549" i="41"/>
  <c r="AF556" i="41"/>
  <c r="AH556" i="41" s="1"/>
  <c r="AI556" i="41" s="1"/>
  <c r="AG557" i="41"/>
  <c r="AF564" i="41"/>
  <c r="AH564" i="41" s="1"/>
  <c r="AI564" i="41" s="1"/>
  <c r="AG565" i="41"/>
  <c r="AF572" i="41"/>
  <c r="AH572" i="41" s="1"/>
  <c r="AI572" i="41" s="1"/>
  <c r="AG573" i="41"/>
  <c r="AF580" i="41"/>
  <c r="AH580" i="41" s="1"/>
  <c r="AI580" i="41" s="1"/>
  <c r="AG581" i="41"/>
  <c r="AF588" i="41"/>
  <c r="AH588" i="41" s="1"/>
  <c r="AI588" i="41" s="1"/>
  <c r="AG589" i="41"/>
  <c r="AF596" i="41"/>
  <c r="AH596" i="41" s="1"/>
  <c r="AI596" i="41" s="1"/>
  <c r="AG597" i="41"/>
  <c r="AF604" i="41"/>
  <c r="AH604" i="41" s="1"/>
  <c r="AI604" i="41" s="1"/>
  <c r="AG605" i="41"/>
  <c r="AF612" i="41"/>
  <c r="AH612" i="41" s="1"/>
  <c r="AI612" i="41" s="1"/>
  <c r="AG613" i="41"/>
  <c r="AF620" i="41"/>
  <c r="AH620" i="41" s="1"/>
  <c r="AI620" i="41" s="1"/>
  <c r="AG621" i="41"/>
  <c r="AG532" i="41"/>
  <c r="AG534" i="41"/>
  <c r="AG536" i="41"/>
  <c r="AG538" i="41"/>
  <c r="AG544" i="41"/>
  <c r="AG560" i="41"/>
  <c r="AF563" i="41"/>
  <c r="AH563" i="41" s="1"/>
  <c r="AI563" i="41" s="1"/>
  <c r="AG568" i="41"/>
  <c r="AG576" i="41"/>
  <c r="AF579" i="41"/>
  <c r="AH579" i="41" s="1"/>
  <c r="AI579" i="41" s="1"/>
  <c r="AF587" i="41"/>
  <c r="AH587" i="41" s="1"/>
  <c r="AI587" i="41" s="1"/>
  <c r="AG592" i="41"/>
  <c r="AF595" i="41"/>
  <c r="AH595" i="41" s="1"/>
  <c r="AI595" i="41" s="1"/>
  <c r="AF611" i="41"/>
  <c r="AH611" i="41" s="1"/>
  <c r="AI611" i="41" s="1"/>
  <c r="AG616" i="41"/>
  <c r="AF570" i="41"/>
  <c r="AH570" i="41" s="1"/>
  <c r="AI570" i="41" s="1"/>
  <c r="AG571" i="41"/>
  <c r="AF602" i="41"/>
  <c r="AH602" i="41" s="1"/>
  <c r="AI602" i="41" s="1"/>
  <c r="AG603" i="41"/>
  <c r="AG619" i="41"/>
  <c r="AF552" i="41"/>
  <c r="AH552" i="41" s="1"/>
  <c r="AI552" i="41" s="1"/>
  <c r="AG553" i="41"/>
  <c r="AF584" i="41"/>
  <c r="AG585" i="41"/>
  <c r="AF600" i="41"/>
  <c r="AG601" i="41"/>
  <c r="AF608" i="41"/>
  <c r="AH608" i="41" s="1"/>
  <c r="AI608" i="41" s="1"/>
  <c r="AG609" i="41"/>
  <c r="AF624" i="41"/>
  <c r="AG625" i="41"/>
  <c r="AF558" i="41"/>
  <c r="AH558" i="41" s="1"/>
  <c r="AI558" i="41" s="1"/>
  <c r="AG559" i="41"/>
  <c r="AF566" i="41"/>
  <c r="AG567" i="41"/>
  <c r="AF574" i="41"/>
  <c r="AH574" i="41" s="1"/>
  <c r="AI574" i="41" s="1"/>
  <c r="AG575" i="41"/>
  <c r="AF582" i="41"/>
  <c r="AH582" i="41" s="1"/>
  <c r="AI582" i="41" s="1"/>
  <c r="AG583" i="41"/>
  <c r="AF590" i="41"/>
  <c r="AH590" i="41" s="1"/>
  <c r="AI590" i="41" s="1"/>
  <c r="AG591" i="41"/>
  <c r="AF598" i="41"/>
  <c r="AG599" i="41"/>
  <c r="AF606" i="41"/>
  <c r="AH606" i="41" s="1"/>
  <c r="AI606" i="41" s="1"/>
  <c r="AG607" i="41"/>
  <c r="AF614" i="41"/>
  <c r="AH614" i="41" s="1"/>
  <c r="AI614" i="41" s="1"/>
  <c r="AG615" i="41"/>
  <c r="AF622" i="41"/>
  <c r="AH622" i="41" s="1"/>
  <c r="AI622" i="41" s="1"/>
  <c r="AG623" i="41"/>
  <c r="AG570" i="41"/>
  <c r="AG578" i="41"/>
  <c r="AG586" i="41"/>
  <c r="AG594" i="41"/>
  <c r="AG602" i="41"/>
  <c r="AG610" i="41"/>
  <c r="AG618" i="41"/>
  <c r="S306" i="41"/>
  <c r="S343" i="41"/>
  <c r="S209" i="41"/>
  <c r="S210" i="41"/>
  <c r="S211" i="41"/>
  <c r="S347" i="41"/>
  <c r="S345" i="41"/>
  <c r="S358" i="41"/>
  <c r="S359" i="41"/>
  <c r="S360" i="41"/>
  <c r="S287" i="41"/>
  <c r="S362" i="41"/>
  <c r="S278" i="41"/>
  <c r="S252" i="41"/>
  <c r="S253" i="41"/>
  <c r="S254" i="41"/>
  <c r="S250" i="41"/>
  <c r="S370" i="41"/>
  <c r="S369" i="41"/>
  <c r="S149" i="41"/>
  <c r="S160" i="41"/>
  <c r="S281" i="41"/>
  <c r="S279" i="41"/>
  <c r="S366" i="41"/>
  <c r="S269" i="41"/>
  <c r="S157" i="41"/>
  <c r="S159" i="41"/>
  <c r="S144" i="41"/>
  <c r="S153" i="41"/>
  <c r="S147" i="41"/>
  <c r="S145" i="41"/>
  <c r="S152" i="41"/>
  <c r="S280" i="41"/>
  <c r="S262" i="41"/>
  <c r="S263" i="41"/>
  <c r="S379" i="41"/>
  <c r="S380" i="41"/>
  <c r="S150" i="41"/>
  <c r="S148" i="41"/>
  <c r="S387" i="41"/>
  <c r="S251" i="41"/>
  <c r="S282" i="41"/>
  <c r="S386" i="41"/>
  <c r="V144" i="39"/>
  <c r="S144" i="39"/>
  <c r="U144" i="39" s="1"/>
  <c r="V143" i="39"/>
  <c r="S143" i="39"/>
  <c r="U143" i="39" s="1"/>
  <c r="V142" i="39"/>
  <c r="S142" i="39"/>
  <c r="U142" i="39" s="1"/>
  <c r="V141" i="39"/>
  <c r="S141" i="39"/>
  <c r="U141" i="39" s="1"/>
  <c r="V140" i="39"/>
  <c r="S140" i="39"/>
  <c r="U140" i="39" s="1"/>
  <c r="V139" i="39"/>
  <c r="S139" i="39"/>
  <c r="U139" i="39" s="1"/>
  <c r="V138" i="39"/>
  <c r="S138" i="39"/>
  <c r="U138" i="39" s="1"/>
  <c r="V137" i="39"/>
  <c r="S137" i="39"/>
  <c r="U137" i="39" s="1"/>
  <c r="V136" i="39"/>
  <c r="S136" i="39"/>
  <c r="U136" i="39" s="1"/>
  <c r="V135" i="39"/>
  <c r="S135" i="39"/>
  <c r="U135" i="39" s="1"/>
  <c r="V134" i="39"/>
  <c r="S134" i="39"/>
  <c r="U134" i="39" s="1"/>
  <c r="V133" i="39"/>
  <c r="S133" i="39"/>
  <c r="U133" i="39" s="1"/>
  <c r="V132" i="39"/>
  <c r="S132" i="39"/>
  <c r="U132" i="39" s="1"/>
  <c r="V131" i="39"/>
  <c r="S131" i="39"/>
  <c r="U131" i="39" s="1"/>
  <c r="V130" i="39"/>
  <c r="S130" i="39"/>
  <c r="U130" i="39" s="1"/>
  <c r="V129" i="39"/>
  <c r="S129" i="39"/>
  <c r="U129" i="39" s="1"/>
  <c r="V128" i="39"/>
  <c r="S128" i="39"/>
  <c r="U128" i="39" s="1"/>
  <c r="V127" i="39"/>
  <c r="S127" i="39"/>
  <c r="U127" i="39" s="1"/>
  <c r="V126" i="39"/>
  <c r="S126" i="39"/>
  <c r="U126" i="39" s="1"/>
  <c r="V125" i="39"/>
  <c r="S125" i="39"/>
  <c r="U125" i="39" s="1"/>
  <c r="V124" i="39"/>
  <c r="S124" i="39"/>
  <c r="U124" i="39" s="1"/>
  <c r="V123" i="39"/>
  <c r="S123" i="39"/>
  <c r="U123" i="39" s="1"/>
  <c r="V122" i="39"/>
  <c r="S122" i="39"/>
  <c r="U122" i="39" s="1"/>
  <c r="V121" i="39"/>
  <c r="S121" i="39"/>
  <c r="U121" i="39" s="1"/>
  <c r="V120" i="39"/>
  <c r="S120" i="39"/>
  <c r="U120" i="39" s="1"/>
  <c r="V119" i="39"/>
  <c r="S119" i="39"/>
  <c r="U119" i="39" s="1"/>
  <c r="V118" i="39"/>
  <c r="S118" i="39"/>
  <c r="U118" i="39" s="1"/>
  <c r="V117" i="39"/>
  <c r="S117" i="39"/>
  <c r="U117" i="39" s="1"/>
  <c r="V116" i="39"/>
  <c r="S116" i="39"/>
  <c r="U116" i="39" s="1"/>
  <c r="V115" i="39"/>
  <c r="S115" i="39"/>
  <c r="U115" i="39" s="1"/>
  <c r="V114" i="39"/>
  <c r="S114" i="39"/>
  <c r="U114" i="39" s="1"/>
  <c r="V113" i="39"/>
  <c r="U113" i="39"/>
  <c r="S113" i="39"/>
  <c r="V112" i="39"/>
  <c r="S112" i="39"/>
  <c r="U112" i="39" s="1"/>
  <c r="V111" i="39"/>
  <c r="S111" i="39"/>
  <c r="U111" i="39" s="1"/>
  <c r="V110" i="39"/>
  <c r="S110" i="39"/>
  <c r="U110" i="39" s="1"/>
  <c r="V109" i="39"/>
  <c r="S109" i="39"/>
  <c r="U109" i="39" s="1"/>
  <c r="V108" i="39"/>
  <c r="S108" i="39"/>
  <c r="U108" i="39" s="1"/>
  <c r="V107" i="39"/>
  <c r="S107" i="39"/>
  <c r="U107" i="39" s="1"/>
  <c r="V106" i="39"/>
  <c r="S106" i="39"/>
  <c r="U106" i="39" s="1"/>
  <c r="V105" i="39"/>
  <c r="S105" i="39"/>
  <c r="U105" i="39" s="1"/>
  <c r="V104" i="39"/>
  <c r="U104" i="39"/>
  <c r="S104" i="39"/>
  <c r="V103" i="39"/>
  <c r="S103" i="39"/>
  <c r="U103" i="39" s="1"/>
  <c r="V102" i="39"/>
  <c r="S102" i="39"/>
  <c r="U102" i="39" s="1"/>
  <c r="V101" i="39"/>
  <c r="S101" i="39"/>
  <c r="U101" i="39" s="1"/>
  <c r="V100" i="39"/>
  <c r="S100" i="39"/>
  <c r="U100" i="39" s="1"/>
  <c r="V99" i="39"/>
  <c r="S99" i="39"/>
  <c r="U99" i="39" s="1"/>
  <c r="V98" i="39"/>
  <c r="U98" i="39"/>
  <c r="S98" i="39"/>
  <c r="V97" i="39"/>
  <c r="S97" i="39"/>
  <c r="U97" i="39" s="1"/>
  <c r="V96" i="39"/>
  <c r="S96" i="39"/>
  <c r="U96" i="39" s="1"/>
  <c r="V95" i="39"/>
  <c r="S95" i="39"/>
  <c r="U95" i="39" s="1"/>
  <c r="V94" i="39"/>
  <c r="S94" i="39"/>
  <c r="U94" i="39" s="1"/>
  <c r="V93" i="39"/>
  <c r="S93" i="39"/>
  <c r="U93" i="39" s="1"/>
  <c r="V92" i="39"/>
  <c r="S92" i="39"/>
  <c r="U92" i="39" s="1"/>
  <c r="V91" i="39"/>
  <c r="S91" i="39"/>
  <c r="U91" i="39" s="1"/>
  <c r="V90" i="39"/>
  <c r="S90" i="39"/>
  <c r="U90" i="39" s="1"/>
  <c r="V89" i="39"/>
  <c r="S89" i="39"/>
  <c r="U89" i="39" s="1"/>
  <c r="V88" i="39"/>
  <c r="S88" i="39"/>
  <c r="U88" i="39" s="1"/>
  <c r="V87" i="39"/>
  <c r="S87" i="39"/>
  <c r="U87" i="39" s="1"/>
  <c r="V86" i="39"/>
  <c r="S86" i="39"/>
  <c r="U86" i="39" s="1"/>
  <c r="V85" i="39"/>
  <c r="S85" i="39"/>
  <c r="U85" i="39" s="1"/>
  <c r="V84" i="39"/>
  <c r="S84" i="39"/>
  <c r="U84" i="39" s="1"/>
  <c r="V83" i="39"/>
  <c r="S83" i="39"/>
  <c r="U83" i="39" s="1"/>
  <c r="V82" i="39"/>
  <c r="S82" i="39"/>
  <c r="U82" i="39" s="1"/>
  <c r="V81" i="39"/>
  <c r="U81" i="39"/>
  <c r="S81" i="39"/>
  <c r="V80" i="39"/>
  <c r="S80" i="39"/>
  <c r="U80" i="39" s="1"/>
  <c r="V79" i="39"/>
  <c r="S79" i="39"/>
  <c r="U79" i="39" s="1"/>
  <c r="V78" i="39"/>
  <c r="S78" i="39"/>
  <c r="U78" i="39" s="1"/>
  <c r="V77" i="39"/>
  <c r="S77" i="39"/>
  <c r="U77" i="39" s="1"/>
  <c r="V76" i="39"/>
  <c r="S76" i="39"/>
  <c r="U76" i="39" s="1"/>
  <c r="V75" i="39"/>
  <c r="S75" i="39"/>
  <c r="U75" i="39" s="1"/>
  <c r="V74" i="39"/>
  <c r="S74" i="39"/>
  <c r="U74" i="39" s="1"/>
  <c r="V73" i="39"/>
  <c r="S73" i="39"/>
  <c r="U73" i="39" s="1"/>
  <c r="V72" i="39"/>
  <c r="S72" i="39"/>
  <c r="U72" i="39" s="1"/>
  <c r="V71" i="39"/>
  <c r="S71" i="39"/>
  <c r="U71" i="39" s="1"/>
  <c r="V70" i="39"/>
  <c r="S70" i="39"/>
  <c r="U70" i="39" s="1"/>
  <c r="V69" i="39"/>
  <c r="S69" i="39"/>
  <c r="U69" i="39" s="1"/>
  <c r="V68" i="39"/>
  <c r="S68" i="39"/>
  <c r="U68" i="39" s="1"/>
  <c r="V67" i="39"/>
  <c r="S67" i="39"/>
  <c r="U67" i="39" s="1"/>
  <c r="V66" i="39"/>
  <c r="U66" i="39"/>
  <c r="S66" i="39"/>
  <c r="V65" i="39"/>
  <c r="S65" i="39"/>
  <c r="U65" i="39" s="1"/>
  <c r="V64" i="39"/>
  <c r="S64" i="39"/>
  <c r="U64" i="39" s="1"/>
  <c r="V63" i="39"/>
  <c r="S63" i="39"/>
  <c r="U63" i="39" s="1"/>
  <c r="V62" i="39"/>
  <c r="S62" i="39"/>
  <c r="U62" i="39" s="1"/>
  <c r="V61" i="39"/>
  <c r="S61" i="39"/>
  <c r="U61" i="39" s="1"/>
  <c r="V60" i="39"/>
  <c r="S60" i="39"/>
  <c r="U60" i="39" s="1"/>
  <c r="V59" i="39"/>
  <c r="S59" i="39"/>
  <c r="U59" i="39" s="1"/>
  <c r="V58" i="39"/>
  <c r="S58" i="39"/>
  <c r="U58" i="39" s="1"/>
  <c r="V57" i="39"/>
  <c r="S57" i="39"/>
  <c r="U57" i="39" s="1"/>
  <c r="V56" i="39"/>
  <c r="S56" i="39"/>
  <c r="U56" i="39" s="1"/>
  <c r="V55" i="39"/>
  <c r="S55" i="39"/>
  <c r="U55" i="39" s="1"/>
  <c r="V54" i="39"/>
  <c r="S54" i="39"/>
  <c r="U54" i="39" s="1"/>
  <c r="V53" i="39"/>
  <c r="S53" i="39"/>
  <c r="U53" i="39" s="1"/>
  <c r="V52" i="39"/>
  <c r="S52" i="39"/>
  <c r="U52" i="39" s="1"/>
  <c r="V51" i="39"/>
  <c r="S51" i="39"/>
  <c r="U51" i="39" s="1"/>
  <c r="V50" i="39"/>
  <c r="S50" i="39"/>
  <c r="U50" i="39" s="1"/>
  <c r="V49" i="39"/>
  <c r="U49" i="39"/>
  <c r="S49" i="39"/>
  <c r="V48" i="39"/>
  <c r="S48" i="39"/>
  <c r="U48" i="39" s="1"/>
  <c r="V47" i="39"/>
  <c r="S47" i="39"/>
  <c r="U47" i="39" s="1"/>
  <c r="V46" i="39"/>
  <c r="S46" i="39"/>
  <c r="U46" i="39" s="1"/>
  <c r="V45" i="39"/>
  <c r="S45" i="39"/>
  <c r="U45" i="39" s="1"/>
  <c r="V44" i="39"/>
  <c r="U44" i="39"/>
  <c r="S44" i="39"/>
  <c r="V43" i="39"/>
  <c r="S43" i="39"/>
  <c r="U43" i="39" s="1"/>
  <c r="V42" i="39"/>
  <c r="S42" i="39"/>
  <c r="U42" i="39" s="1"/>
  <c r="V41" i="39"/>
  <c r="S41" i="39"/>
  <c r="U41" i="39" s="1"/>
  <c r="V40" i="39"/>
  <c r="S40" i="39"/>
  <c r="U40" i="39" s="1"/>
  <c r="V39" i="39"/>
  <c r="S39" i="39"/>
  <c r="U39" i="39" s="1"/>
  <c r="V38" i="39"/>
  <c r="U38" i="39"/>
  <c r="S38" i="39"/>
  <c r="V37" i="39"/>
  <c r="S37" i="39"/>
  <c r="U37" i="39" s="1"/>
  <c r="V36" i="39"/>
  <c r="S36" i="39"/>
  <c r="U36" i="39" s="1"/>
  <c r="V35" i="39"/>
  <c r="S35" i="39"/>
  <c r="U35" i="39" s="1"/>
  <c r="V34" i="39"/>
  <c r="S34" i="39"/>
  <c r="U34" i="39" s="1"/>
  <c r="S33" i="39"/>
  <c r="U33" i="39" s="1"/>
  <c r="R33" i="39"/>
  <c r="V33" i="39" s="1"/>
  <c r="Q33" i="39"/>
  <c r="AA32" i="39"/>
  <c r="AB32" i="39" s="1"/>
  <c r="S32" i="39" s="1"/>
  <c r="U32" i="39" s="1"/>
  <c r="R32" i="39"/>
  <c r="V32" i="39" s="1"/>
  <c r="Q32" i="39"/>
  <c r="AA31" i="39"/>
  <c r="AB31" i="39" s="1"/>
  <c r="S31" i="39" s="1"/>
  <c r="U31" i="39" s="1"/>
  <c r="R31" i="39"/>
  <c r="V31" i="39" s="1"/>
  <c r="Q31" i="39"/>
  <c r="AA30" i="39"/>
  <c r="AB30" i="39" s="1"/>
  <c r="S30" i="39" s="1"/>
  <c r="U30" i="39" s="1"/>
  <c r="R30" i="39"/>
  <c r="V30" i="39" s="1"/>
  <c r="Q30" i="39"/>
  <c r="AA29" i="39"/>
  <c r="AB29" i="39" s="1"/>
  <c r="S29" i="39" s="1"/>
  <c r="U29" i="39" s="1"/>
  <c r="R29" i="39"/>
  <c r="V29" i="39" s="1"/>
  <c r="Q29" i="39"/>
  <c r="AA28" i="39"/>
  <c r="AB28" i="39" s="1"/>
  <c r="S28" i="39" s="1"/>
  <c r="U28" i="39" s="1"/>
  <c r="R28" i="39"/>
  <c r="V28" i="39" s="1"/>
  <c r="Q28" i="39"/>
  <c r="AA27" i="39"/>
  <c r="AB27" i="39" s="1"/>
  <c r="S27" i="39" s="1"/>
  <c r="U27" i="39" s="1"/>
  <c r="R27" i="39"/>
  <c r="V27" i="39" s="1"/>
  <c r="Q27" i="39"/>
  <c r="AA26" i="39"/>
  <c r="AB26" i="39" s="1"/>
  <c r="S26" i="39" s="1"/>
  <c r="U26" i="39" s="1"/>
  <c r="R26" i="39"/>
  <c r="V26" i="39" s="1"/>
  <c r="Q26" i="39"/>
  <c r="AA25" i="39"/>
  <c r="AB25" i="39" s="1"/>
  <c r="S25" i="39" s="1"/>
  <c r="U25" i="39" s="1"/>
  <c r="R25" i="39"/>
  <c r="V25" i="39" s="1"/>
  <c r="Q25" i="39"/>
  <c r="AA24" i="39"/>
  <c r="AB24" i="39" s="1"/>
  <c r="S24" i="39" s="1"/>
  <c r="U24" i="39" s="1"/>
  <c r="R24" i="39"/>
  <c r="V24" i="39" s="1"/>
  <c r="Q24" i="39"/>
  <c r="AA23" i="39"/>
  <c r="AB23" i="39" s="1"/>
  <c r="S23" i="39" s="1"/>
  <c r="U23" i="39" s="1"/>
  <c r="R23" i="39"/>
  <c r="V23" i="39" s="1"/>
  <c r="Q23" i="39"/>
  <c r="AA22" i="39"/>
  <c r="AB22" i="39" s="1"/>
  <c r="S22" i="39" s="1"/>
  <c r="U22" i="39" s="1"/>
  <c r="R22" i="39"/>
  <c r="V22" i="39" s="1"/>
  <c r="Q22" i="39"/>
  <c r="AA21" i="39"/>
  <c r="AB21" i="39" s="1"/>
  <c r="S21" i="39" s="1"/>
  <c r="U21" i="39" s="1"/>
  <c r="R21" i="39"/>
  <c r="V21" i="39" s="1"/>
  <c r="Q21" i="39"/>
  <c r="AA20" i="39"/>
  <c r="AB20" i="39" s="1"/>
  <c r="S20" i="39" s="1"/>
  <c r="U20" i="39" s="1"/>
  <c r="R20" i="39"/>
  <c r="V20" i="39" s="1"/>
  <c r="Q20" i="39"/>
  <c r="AA19" i="39"/>
  <c r="AB19" i="39" s="1"/>
  <c r="S19" i="39" s="1"/>
  <c r="U19" i="39" s="1"/>
  <c r="R19" i="39"/>
  <c r="Q19" i="39"/>
  <c r="AA18" i="39"/>
  <c r="AB18" i="39" s="1"/>
  <c r="S18" i="39" s="1"/>
  <c r="U18" i="39" s="1"/>
  <c r="R18" i="39"/>
  <c r="V18" i="39" s="1"/>
  <c r="Q18" i="39"/>
  <c r="AA17" i="39"/>
  <c r="AB17" i="39" s="1"/>
  <c r="S17" i="39" s="1"/>
  <c r="U17" i="39" s="1"/>
  <c r="R17" i="39"/>
  <c r="Q17" i="39"/>
  <c r="AA16" i="39"/>
  <c r="AB16" i="39" s="1"/>
  <c r="S16" i="39" s="1"/>
  <c r="U16" i="39" s="1"/>
  <c r="R16" i="39"/>
  <c r="Q16" i="39"/>
  <c r="AA15" i="39"/>
  <c r="AB15" i="39" s="1"/>
  <c r="S15" i="39" s="1"/>
  <c r="U15" i="39" s="1"/>
  <c r="R15" i="39"/>
  <c r="Q15" i="39"/>
  <c r="AA14" i="39"/>
  <c r="AB14" i="39" s="1"/>
  <c r="S14" i="39" s="1"/>
  <c r="U14" i="39" s="1"/>
  <c r="R14" i="39"/>
  <c r="V14" i="39" s="1"/>
  <c r="Q14" i="39"/>
  <c r="AA13" i="39"/>
  <c r="AB13" i="39" s="1"/>
  <c r="S13" i="39" s="1"/>
  <c r="U13" i="39" s="1"/>
  <c r="R13" i="39"/>
  <c r="V13" i="39" s="1"/>
  <c r="Q13" i="39"/>
  <c r="K13" i="39"/>
  <c r="AA12" i="39"/>
  <c r="AB12" i="39" s="1"/>
  <c r="S12" i="39" s="1"/>
  <c r="U12" i="39" s="1"/>
  <c r="R12" i="39"/>
  <c r="V12" i="39" s="1"/>
  <c r="Q12" i="39"/>
  <c r="K12" i="39"/>
  <c r="AA11" i="39"/>
  <c r="AB11" i="39" s="1"/>
  <c r="S11" i="39" s="1"/>
  <c r="U11" i="39" s="1"/>
  <c r="R11" i="39"/>
  <c r="V11" i="39" s="1"/>
  <c r="Q11" i="39"/>
  <c r="K11" i="39"/>
  <c r="AA10" i="39"/>
  <c r="AB10" i="39" s="1"/>
  <c r="S10" i="39" s="1"/>
  <c r="U10" i="39" s="1"/>
  <c r="R10" i="39"/>
  <c r="V10" i="39" s="1"/>
  <c r="Q10" i="39"/>
  <c r="K10" i="39"/>
  <c r="AA9" i="39"/>
  <c r="AB9" i="39" s="1"/>
  <c r="S9" i="39" s="1"/>
  <c r="U9" i="39" s="1"/>
  <c r="R9" i="39"/>
  <c r="V9" i="39" s="1"/>
  <c r="Q9" i="39"/>
  <c r="K9" i="39"/>
  <c r="AA8" i="39"/>
  <c r="AB8" i="39" s="1"/>
  <c r="S8" i="39" s="1"/>
  <c r="U8" i="39" s="1"/>
  <c r="R8" i="39"/>
  <c r="V8" i="39" s="1"/>
  <c r="Q8" i="39"/>
  <c r="K8" i="39"/>
  <c r="AA7" i="39"/>
  <c r="AB7" i="39" s="1"/>
  <c r="S7" i="39" s="1"/>
  <c r="U7" i="39" s="1"/>
  <c r="R7" i="39"/>
  <c r="Q7" i="39"/>
  <c r="K7" i="39"/>
  <c r="AO40" i="38"/>
  <c r="AP40" i="38" s="1"/>
  <c r="AC40" i="38" s="1"/>
  <c r="AE40" i="38" s="1"/>
  <c r="AB40" i="38"/>
  <c r="AA40" i="38"/>
  <c r="U40" i="38" s="1"/>
  <c r="AO39" i="38"/>
  <c r="AP39" i="38" s="1"/>
  <c r="AC39" i="38" s="1"/>
  <c r="AE39" i="38" s="1"/>
  <c r="AB39" i="38"/>
  <c r="AF39" i="38" s="1"/>
  <c r="AA39" i="38"/>
  <c r="U39" i="38" s="1"/>
  <c r="AO38" i="38"/>
  <c r="AP38" i="38" s="1"/>
  <c r="AC38" i="38" s="1"/>
  <c r="AE38" i="38" s="1"/>
  <c r="AB38" i="38"/>
  <c r="AF38" i="38" s="1"/>
  <c r="AA38" i="38"/>
  <c r="U38" i="38" s="1"/>
  <c r="AO37" i="38"/>
  <c r="AP37" i="38" s="1"/>
  <c r="AC37" i="38" s="1"/>
  <c r="AE37" i="38" s="1"/>
  <c r="AB37" i="38"/>
  <c r="AF37" i="38" s="1"/>
  <c r="AA37" i="38"/>
  <c r="U37" i="38" s="1"/>
  <c r="AO36" i="38"/>
  <c r="AP36" i="38" s="1"/>
  <c r="AC36" i="38" s="1"/>
  <c r="AE36" i="38" s="1"/>
  <c r="AB36" i="38"/>
  <c r="AF36" i="38" s="1"/>
  <c r="AA36" i="38"/>
  <c r="U36" i="38" s="1"/>
  <c r="AO35" i="38"/>
  <c r="AP35" i="38" s="1"/>
  <c r="AC35" i="38" s="1"/>
  <c r="AE35" i="38" s="1"/>
  <c r="AB35" i="38"/>
  <c r="AF35" i="38" s="1"/>
  <c r="AA35" i="38"/>
  <c r="U35" i="38" s="1"/>
  <c r="AO34" i="38"/>
  <c r="AP34" i="38" s="1"/>
  <c r="AC34" i="38" s="1"/>
  <c r="AE34" i="38" s="1"/>
  <c r="AB34" i="38"/>
  <c r="AF34" i="38" s="1"/>
  <c r="AA34" i="38"/>
  <c r="U34" i="38" s="1"/>
  <c r="AO33" i="38"/>
  <c r="AP33" i="38" s="1"/>
  <c r="AC33" i="38" s="1"/>
  <c r="AE33" i="38" s="1"/>
  <c r="AB33" i="38"/>
  <c r="AF33" i="38" s="1"/>
  <c r="AA33" i="38"/>
  <c r="U33" i="38" s="1"/>
  <c r="AO32" i="38"/>
  <c r="AP32" i="38" s="1"/>
  <c r="AC32" i="38" s="1"/>
  <c r="AE32" i="38" s="1"/>
  <c r="AB32" i="38"/>
  <c r="AA32" i="38"/>
  <c r="U32" i="38" s="1"/>
  <c r="AO31" i="38"/>
  <c r="AP31" i="38" s="1"/>
  <c r="AC31" i="38" s="1"/>
  <c r="AE31" i="38" s="1"/>
  <c r="AB31" i="38"/>
  <c r="AF31" i="38" s="1"/>
  <c r="AA31" i="38"/>
  <c r="U31" i="38" s="1"/>
  <c r="AO30" i="38"/>
  <c r="AP30" i="38" s="1"/>
  <c r="AC30" i="38" s="1"/>
  <c r="AE30" i="38" s="1"/>
  <c r="AB30" i="38"/>
  <c r="AF30" i="38" s="1"/>
  <c r="AA30" i="38"/>
  <c r="U30" i="38" s="1"/>
  <c r="AO29" i="38"/>
  <c r="AP29" i="38" s="1"/>
  <c r="AC29" i="38" s="1"/>
  <c r="AE29" i="38" s="1"/>
  <c r="AB29" i="38"/>
  <c r="AF29" i="38" s="1"/>
  <c r="AA29" i="38"/>
  <c r="U29" i="38" s="1"/>
  <c r="AO28" i="38"/>
  <c r="AP28" i="38" s="1"/>
  <c r="AC28" i="38" s="1"/>
  <c r="AE28" i="38" s="1"/>
  <c r="AB28" i="38"/>
  <c r="AF28" i="38" s="1"/>
  <c r="AA28" i="38"/>
  <c r="U28" i="38" s="1"/>
  <c r="AO27" i="38"/>
  <c r="AP27" i="38" s="1"/>
  <c r="AC27" i="38" s="1"/>
  <c r="AE27" i="38" s="1"/>
  <c r="AB27" i="38"/>
  <c r="AF27" i="38" s="1"/>
  <c r="AA27" i="38"/>
  <c r="U27" i="38" s="1"/>
  <c r="AO26" i="38"/>
  <c r="AP26" i="38" s="1"/>
  <c r="AC26" i="38" s="1"/>
  <c r="AE26" i="38" s="1"/>
  <c r="AB26" i="38"/>
  <c r="AF26" i="38" s="1"/>
  <c r="AA26" i="38"/>
  <c r="U26" i="38" s="1"/>
  <c r="AO25" i="38"/>
  <c r="AP25" i="38" s="1"/>
  <c r="AC25" i="38" s="1"/>
  <c r="AE25" i="38" s="1"/>
  <c r="AB25" i="38"/>
  <c r="AF25" i="38" s="1"/>
  <c r="AA25" i="38"/>
  <c r="U25" i="38" s="1"/>
  <c r="AO24" i="38"/>
  <c r="AP24" i="38" s="1"/>
  <c r="AC24" i="38" s="1"/>
  <c r="AE24" i="38" s="1"/>
  <c r="AB24" i="38"/>
  <c r="AF24" i="38" s="1"/>
  <c r="AA24" i="38"/>
  <c r="U24" i="38" s="1"/>
  <c r="AO23" i="38"/>
  <c r="AP23" i="38" s="1"/>
  <c r="AC23" i="38" s="1"/>
  <c r="AE23" i="38" s="1"/>
  <c r="AB23" i="38"/>
  <c r="AF23" i="38" s="1"/>
  <c r="AA23" i="38"/>
  <c r="U23" i="38" s="1"/>
  <c r="AO22" i="38"/>
  <c r="AP22" i="38" s="1"/>
  <c r="AC22" i="38" s="1"/>
  <c r="AE22" i="38" s="1"/>
  <c r="AB22" i="38"/>
  <c r="AF22" i="38" s="1"/>
  <c r="AA22" i="38"/>
  <c r="U22" i="38" s="1"/>
  <c r="AO21" i="38"/>
  <c r="AP21" i="38" s="1"/>
  <c r="AC21" i="38" s="1"/>
  <c r="AE21" i="38" s="1"/>
  <c r="AB21" i="38"/>
  <c r="AF21" i="38" s="1"/>
  <c r="AA21" i="38"/>
  <c r="U21" i="38" s="1"/>
  <c r="AO20" i="38"/>
  <c r="AP20" i="38" s="1"/>
  <c r="AC20" i="38" s="1"/>
  <c r="AE20" i="38" s="1"/>
  <c r="AB20" i="38"/>
  <c r="AA20" i="38"/>
  <c r="U20" i="38" s="1"/>
  <c r="AO19" i="38"/>
  <c r="AP19" i="38" s="1"/>
  <c r="AC19" i="38" s="1"/>
  <c r="AE19" i="38" s="1"/>
  <c r="AB19" i="38"/>
  <c r="AF19" i="38" s="1"/>
  <c r="AA19" i="38"/>
  <c r="U19" i="38" s="1"/>
  <c r="AO18" i="38"/>
  <c r="AP18" i="38" s="1"/>
  <c r="AC18" i="38" s="1"/>
  <c r="AE18" i="38" s="1"/>
  <c r="AB18" i="38"/>
  <c r="AF18" i="38" s="1"/>
  <c r="AA18" i="38"/>
  <c r="U18" i="38" s="1"/>
  <c r="AO17" i="38"/>
  <c r="AP17" i="38" s="1"/>
  <c r="AC17" i="38" s="1"/>
  <c r="AE17" i="38" s="1"/>
  <c r="AB17" i="38"/>
  <c r="AF17" i="38" s="1"/>
  <c r="AA17" i="38"/>
  <c r="U17" i="38" s="1"/>
  <c r="AO16" i="38"/>
  <c r="AP16" i="38" s="1"/>
  <c r="AC16" i="38" s="1"/>
  <c r="AE16" i="38" s="1"/>
  <c r="AB16" i="38"/>
  <c r="AF16" i="38" s="1"/>
  <c r="AA16" i="38"/>
  <c r="U16" i="38" s="1"/>
  <c r="AO15" i="38"/>
  <c r="AP15" i="38" s="1"/>
  <c r="AC15" i="38" s="1"/>
  <c r="AE15" i="38" s="1"/>
  <c r="AB15" i="38"/>
  <c r="AF15" i="38" s="1"/>
  <c r="AA15" i="38"/>
  <c r="U15" i="38" s="1"/>
  <c r="AO14" i="38"/>
  <c r="AP14" i="38" s="1"/>
  <c r="AC14" i="38" s="1"/>
  <c r="AE14" i="38" s="1"/>
  <c r="AB14" i="38"/>
  <c r="AF14" i="38" s="1"/>
  <c r="AA14" i="38"/>
  <c r="U14" i="38" s="1"/>
  <c r="AO13" i="38"/>
  <c r="AP13" i="38" s="1"/>
  <c r="AC13" i="38" s="1"/>
  <c r="AE13" i="38" s="1"/>
  <c r="AB13" i="38"/>
  <c r="AF13" i="38" s="1"/>
  <c r="AA13" i="38"/>
  <c r="U13" i="38" s="1"/>
  <c r="AO12" i="38"/>
  <c r="AP12" i="38" s="1"/>
  <c r="AC12" i="38" s="1"/>
  <c r="AE12" i="38" s="1"/>
  <c r="AB12" i="38"/>
  <c r="AF12" i="38" s="1"/>
  <c r="AA12" i="38"/>
  <c r="U12" i="38" s="1"/>
  <c r="AO11" i="38"/>
  <c r="AP11" i="38" s="1"/>
  <c r="AC11" i="38" s="1"/>
  <c r="AE11" i="38" s="1"/>
  <c r="AB11" i="38"/>
  <c r="AF11" i="38" s="1"/>
  <c r="AA11" i="38"/>
  <c r="AO10" i="38"/>
  <c r="AP10" i="38" s="1"/>
  <c r="AC10" i="38" s="1"/>
  <c r="AE10" i="38" s="1"/>
  <c r="AB10" i="38"/>
  <c r="AF10" i="38" s="1"/>
  <c r="AA10" i="38"/>
  <c r="U10" i="38" s="1"/>
  <c r="AO9" i="38"/>
  <c r="AP9" i="38" s="1"/>
  <c r="AB9" i="38"/>
  <c r="AF9" i="38" s="1"/>
  <c r="AA9" i="38"/>
  <c r="U9" i="38" s="1"/>
  <c r="AO8" i="38"/>
  <c r="AP8" i="38" s="1"/>
  <c r="AC8" i="38" s="1"/>
  <c r="AE8" i="38" s="1"/>
  <c r="AB8" i="38"/>
  <c r="AF8" i="38" s="1"/>
  <c r="AA8" i="38"/>
  <c r="T8" i="38"/>
  <c r="AO7" i="38"/>
  <c r="AP7" i="38" s="1"/>
  <c r="AC7" i="38" s="1"/>
  <c r="AE7" i="38" s="1"/>
  <c r="AB7" i="38"/>
  <c r="AF7" i="38" s="1"/>
  <c r="AA7" i="38"/>
  <c r="T7" i="38"/>
  <c r="AF20" i="38" l="1"/>
  <c r="U8" i="38"/>
  <c r="U7" i="38"/>
  <c r="AJ527" i="41"/>
  <c r="AK527" i="41" s="1"/>
  <c r="R527" i="41" s="1"/>
  <c r="U527" i="41" s="1"/>
  <c r="V527" i="41" s="1"/>
  <c r="AJ525" i="41"/>
  <c r="AK525" i="41" s="1"/>
  <c r="R525" i="41" s="1"/>
  <c r="U525" i="41" s="1"/>
  <c r="V525" i="41" s="1"/>
  <c r="AJ523" i="41"/>
  <c r="AJ528" i="41"/>
  <c r="AK528" i="41" s="1"/>
  <c r="R528" i="41" s="1"/>
  <c r="U528" i="41" s="1"/>
  <c r="V528" i="41" s="1"/>
  <c r="AJ516" i="41"/>
  <c r="AG526" i="41"/>
  <c r="AJ526" i="41" s="1"/>
  <c r="AF524" i="41"/>
  <c r="AH524" i="41" s="1"/>
  <c r="AI524" i="41" s="1"/>
  <c r="AH516" i="41"/>
  <c r="AI516" i="41" s="1"/>
  <c r="AH526" i="41"/>
  <c r="AI526" i="41" s="1"/>
  <c r="AJ520" i="41"/>
  <c r="AJ521" i="41"/>
  <c r="AK521" i="41" s="1"/>
  <c r="R521" i="41" s="1"/>
  <c r="U521" i="41" s="1"/>
  <c r="V521" i="41" s="1"/>
  <c r="AJ519" i="41"/>
  <c r="AK519" i="41" s="1"/>
  <c r="R519" i="41" s="1"/>
  <c r="U519" i="41" s="1"/>
  <c r="AJ517" i="41"/>
  <c r="AK517" i="41" s="1"/>
  <c r="R517" i="41" s="1"/>
  <c r="U517" i="41" s="1"/>
  <c r="AJ515" i="41"/>
  <c r="AK515" i="41" s="1"/>
  <c r="R515" i="41" s="1"/>
  <c r="U515" i="41" s="1"/>
  <c r="V515" i="41" s="1"/>
  <c r="AH523" i="41"/>
  <c r="AI523" i="41" s="1"/>
  <c r="AK523" i="41" s="1"/>
  <c r="R523" i="41" s="1"/>
  <c r="U523" i="41" s="1"/>
  <c r="V523" i="41" s="1"/>
  <c r="AG524" i="41"/>
  <c r="AH520" i="41"/>
  <c r="AI520" i="41" s="1"/>
  <c r="AJ522" i="41"/>
  <c r="AJ518" i="41"/>
  <c r="AK518" i="41" s="1"/>
  <c r="R518" i="41" s="1"/>
  <c r="U518" i="41" s="1"/>
  <c r="AJ514" i="41"/>
  <c r="AK514" i="41" s="1"/>
  <c r="R514" i="41" s="1"/>
  <c r="U514" i="41" s="1"/>
  <c r="V514" i="41" s="1"/>
  <c r="AH522" i="41"/>
  <c r="AI522" i="41" s="1"/>
  <c r="AJ536" i="41"/>
  <c r="AK536" i="41" s="1"/>
  <c r="R536" i="41" s="1"/>
  <c r="U536" i="41" s="1"/>
  <c r="V536" i="41" s="1"/>
  <c r="AJ551" i="41"/>
  <c r="AK551" i="41" s="1"/>
  <c r="R551" i="41" s="1"/>
  <c r="U551" i="41" s="1"/>
  <c r="AJ573" i="41"/>
  <c r="AK573" i="41" s="1"/>
  <c r="R573" i="41" s="1"/>
  <c r="U573" i="41" s="1"/>
  <c r="AJ603" i="41"/>
  <c r="AK603" i="41" s="1"/>
  <c r="R603" i="41" s="1"/>
  <c r="U603" i="41" s="1"/>
  <c r="AJ561" i="41"/>
  <c r="AK561" i="41" s="1"/>
  <c r="R561" i="41" s="1"/>
  <c r="U561" i="41" s="1"/>
  <c r="AJ599" i="41"/>
  <c r="AK599" i="41" s="1"/>
  <c r="R599" i="41" s="1"/>
  <c r="U599" i="41" s="1"/>
  <c r="AJ585" i="41"/>
  <c r="AK585" i="41" s="1"/>
  <c r="R585" i="41" s="1"/>
  <c r="U585" i="41" s="1"/>
  <c r="AJ534" i="41"/>
  <c r="AK534" i="41" s="1"/>
  <c r="R534" i="41" s="1"/>
  <c r="U534" i="41" s="1"/>
  <c r="V534" i="41" s="1"/>
  <c r="AJ602" i="41"/>
  <c r="AK602" i="41" s="1"/>
  <c r="R602" i="41" s="1"/>
  <c r="U602" i="41" s="1"/>
  <c r="AJ550" i="41"/>
  <c r="AJ617" i="41"/>
  <c r="AK617" i="41" s="1"/>
  <c r="R617" i="41" s="1"/>
  <c r="U617" i="41" s="1"/>
  <c r="AJ577" i="41"/>
  <c r="AK577" i="41" s="1"/>
  <c r="R577" i="41" s="1"/>
  <c r="U577" i="41" s="1"/>
  <c r="AJ575" i="41"/>
  <c r="AK575" i="41" s="1"/>
  <c r="R575" i="41" s="1"/>
  <c r="U575" i="41" s="1"/>
  <c r="AJ609" i="41"/>
  <c r="AK609" i="41" s="1"/>
  <c r="R609" i="41" s="1"/>
  <c r="U609" i="41" s="1"/>
  <c r="AJ569" i="41"/>
  <c r="AJ605" i="41"/>
  <c r="AK605" i="41" s="1"/>
  <c r="R605" i="41" s="1"/>
  <c r="U605" i="41" s="1"/>
  <c r="AJ589" i="41"/>
  <c r="AK589" i="41" s="1"/>
  <c r="R589" i="41" s="1"/>
  <c r="U589" i="41" s="1"/>
  <c r="AJ557" i="41"/>
  <c r="AK557" i="41" s="1"/>
  <c r="R557" i="41" s="1"/>
  <c r="U557" i="41" s="1"/>
  <c r="AH569" i="41"/>
  <c r="AI569" i="41" s="1"/>
  <c r="AK569" i="41" s="1"/>
  <c r="R569" i="41" s="1"/>
  <c r="U569" i="41" s="1"/>
  <c r="AJ583" i="41"/>
  <c r="AK583" i="41" s="1"/>
  <c r="R583" i="41" s="1"/>
  <c r="U583" i="41" s="1"/>
  <c r="AJ625" i="41"/>
  <c r="AK625" i="41" s="1"/>
  <c r="R625" i="41" s="1"/>
  <c r="U625" i="41" s="1"/>
  <c r="AJ538" i="41"/>
  <c r="AK538" i="41" s="1"/>
  <c r="R538" i="41" s="1"/>
  <c r="U538" i="41" s="1"/>
  <c r="AJ624" i="41"/>
  <c r="AJ590" i="41"/>
  <c r="AK590" i="41" s="1"/>
  <c r="R590" i="41" s="1"/>
  <c r="U590" i="41" s="1"/>
  <c r="AJ582" i="41"/>
  <c r="AK582" i="41" s="1"/>
  <c r="R582" i="41" s="1"/>
  <c r="U582" i="41" s="1"/>
  <c r="AJ600" i="41"/>
  <c r="AJ571" i="41"/>
  <c r="AK571" i="41" s="1"/>
  <c r="R571" i="41" s="1"/>
  <c r="U571" i="41" s="1"/>
  <c r="AJ597" i="41"/>
  <c r="AJ553" i="41"/>
  <c r="AK553" i="41" s="1"/>
  <c r="R553" i="41" s="1"/>
  <c r="U553" i="41" s="1"/>
  <c r="AJ568" i="41"/>
  <c r="AK568" i="41" s="1"/>
  <c r="R568" i="41" s="1"/>
  <c r="U568" i="41" s="1"/>
  <c r="AJ540" i="41"/>
  <c r="AK540" i="41" s="1"/>
  <c r="R540" i="41" s="1"/>
  <c r="U540" i="41" s="1"/>
  <c r="AJ615" i="41"/>
  <c r="AK615" i="41" s="1"/>
  <c r="R615" i="41" s="1"/>
  <c r="U615" i="41" s="1"/>
  <c r="AJ555" i="41"/>
  <c r="AJ618" i="41"/>
  <c r="AK618" i="41" s="1"/>
  <c r="R618" i="41" s="1"/>
  <c r="U618" i="41" s="1"/>
  <c r="AJ621" i="41"/>
  <c r="AK621" i="41" s="1"/>
  <c r="R621" i="41" s="1"/>
  <c r="U621" i="41" s="1"/>
  <c r="AH597" i="41"/>
  <c r="AI597" i="41" s="1"/>
  <c r="AJ591" i="41"/>
  <c r="AJ559" i="41"/>
  <c r="AK559" i="41" s="1"/>
  <c r="R559" i="41" s="1"/>
  <c r="U559" i="41" s="1"/>
  <c r="AJ567" i="41"/>
  <c r="AK567" i="41" s="1"/>
  <c r="R567" i="41" s="1"/>
  <c r="U567" i="41" s="1"/>
  <c r="AJ608" i="41"/>
  <c r="AK608" i="41" s="1"/>
  <c r="R608" i="41" s="1"/>
  <c r="U608" i="41" s="1"/>
  <c r="AJ584" i="41"/>
  <c r="AJ581" i="41"/>
  <c r="AK581" i="41" s="1"/>
  <c r="R581" i="41" s="1"/>
  <c r="U581" i="41" s="1"/>
  <c r="AJ565" i="41"/>
  <c r="AK565" i="41" s="1"/>
  <c r="R565" i="41" s="1"/>
  <c r="U565" i="41" s="1"/>
  <c r="AJ549" i="41"/>
  <c r="AK549" i="41" s="1"/>
  <c r="R549" i="41" s="1"/>
  <c r="U549" i="41" s="1"/>
  <c r="AJ593" i="41"/>
  <c r="AK593" i="41" s="1"/>
  <c r="R593" i="41" s="1"/>
  <c r="U593" i="41" s="1"/>
  <c r="AJ601" i="41"/>
  <c r="AK601" i="41" s="1"/>
  <c r="R601" i="41" s="1"/>
  <c r="U601" i="41" s="1"/>
  <c r="AJ545" i="41"/>
  <c r="AK545" i="41" s="1"/>
  <c r="R545" i="41" s="1"/>
  <c r="U545" i="41" s="1"/>
  <c r="AH591" i="41"/>
  <c r="AI591" i="41" s="1"/>
  <c r="AJ544" i="41"/>
  <c r="AK544" i="41" s="1"/>
  <c r="R544" i="41" s="1"/>
  <c r="U544" i="41" s="1"/>
  <c r="AJ613" i="41"/>
  <c r="AK613" i="41" s="1"/>
  <c r="R613" i="41" s="1"/>
  <c r="U613" i="41" s="1"/>
  <c r="AJ576" i="41"/>
  <c r="AJ623" i="41"/>
  <c r="AK623" i="41" s="1"/>
  <c r="R623" i="41" s="1"/>
  <c r="U623" i="41" s="1"/>
  <c r="AJ614" i="41"/>
  <c r="AK614" i="41" s="1"/>
  <c r="R614" i="41" s="1"/>
  <c r="U614" i="41" s="1"/>
  <c r="AJ619" i="41"/>
  <c r="AK619" i="41" s="1"/>
  <c r="R619" i="41" s="1"/>
  <c r="U619" i="41" s="1"/>
  <c r="AJ541" i="41"/>
  <c r="AJ587" i="41"/>
  <c r="AK587" i="41" s="1"/>
  <c r="R587" i="41" s="1"/>
  <c r="U587" i="41" s="1"/>
  <c r="AJ616" i="41"/>
  <c r="AK616" i="41" s="1"/>
  <c r="R616" i="41" s="1"/>
  <c r="U616" i="41" s="1"/>
  <c r="AJ610" i="41"/>
  <c r="AK610" i="41" s="1"/>
  <c r="R610" i="41" s="1"/>
  <c r="U610" i="41" s="1"/>
  <c r="AJ586" i="41"/>
  <c r="AK586" i="41" s="1"/>
  <c r="R586" i="41" s="1"/>
  <c r="U586" i="41" s="1"/>
  <c r="AJ622" i="41"/>
  <c r="AK622" i="41" s="1"/>
  <c r="R622" i="41" s="1"/>
  <c r="U622" i="41" s="1"/>
  <c r="AJ607" i="41"/>
  <c r="AK607" i="41" s="1"/>
  <c r="R607" i="41" s="1"/>
  <c r="U607" i="41" s="1"/>
  <c r="AJ558" i="41"/>
  <c r="AK558" i="41" s="1"/>
  <c r="R558" i="41" s="1"/>
  <c r="U558" i="41" s="1"/>
  <c r="AH541" i="41"/>
  <c r="AI541" i="41" s="1"/>
  <c r="AK541" i="41" s="1"/>
  <c r="R541" i="41" s="1"/>
  <c r="U541" i="41" s="1"/>
  <c r="AJ532" i="41"/>
  <c r="AK532" i="41" s="1"/>
  <c r="R532" i="41" s="1"/>
  <c r="U532" i="41" s="1"/>
  <c r="V532" i="41" s="1"/>
  <c r="AH555" i="41"/>
  <c r="AI555" i="41" s="1"/>
  <c r="AJ542" i="41"/>
  <c r="AK542" i="41" s="1"/>
  <c r="R542" i="41" s="1"/>
  <c r="U542" i="41" s="1"/>
  <c r="AJ595" i="41"/>
  <c r="AK595" i="41" s="1"/>
  <c r="R595" i="41" s="1"/>
  <c r="U595" i="41" s="1"/>
  <c r="AJ552" i="41"/>
  <c r="AK552" i="41" s="1"/>
  <c r="R552" i="41" s="1"/>
  <c r="U552" i="41" s="1"/>
  <c r="AJ592" i="41"/>
  <c r="AJ535" i="41"/>
  <c r="AK535" i="41" s="1"/>
  <c r="R535" i="41" s="1"/>
  <c r="U535" i="41" s="1"/>
  <c r="V535" i="41" s="1"/>
  <c r="AJ554" i="41"/>
  <c r="AK554" i="41" s="1"/>
  <c r="R554" i="41" s="1"/>
  <c r="U554" i="41" s="1"/>
  <c r="AH566" i="41"/>
  <c r="AI566" i="41" s="1"/>
  <c r="AH598" i="41"/>
  <c r="AI598" i="41" s="1"/>
  <c r="AJ533" i="41"/>
  <c r="AK533" i="41" s="1"/>
  <c r="R533" i="41" s="1"/>
  <c r="U533" i="41" s="1"/>
  <c r="V533" i="41" s="1"/>
  <c r="AJ578" i="41"/>
  <c r="AK578" i="41" s="1"/>
  <c r="R578" i="41" s="1"/>
  <c r="U578" i="41" s="1"/>
  <c r="AJ570" i="41"/>
  <c r="AK570" i="41" s="1"/>
  <c r="R570" i="41" s="1"/>
  <c r="U570" i="41" s="1"/>
  <c r="AJ611" i="41"/>
  <c r="AK611" i="41" s="1"/>
  <c r="R611" i="41" s="1"/>
  <c r="U611" i="41" s="1"/>
  <c r="AJ606" i="41"/>
  <c r="AK606" i="41" s="1"/>
  <c r="R606" i="41" s="1"/>
  <c r="U606" i="41" s="1"/>
  <c r="AJ574" i="41"/>
  <c r="AK574" i="41" s="1"/>
  <c r="R574" i="41" s="1"/>
  <c r="U574" i="41" s="1"/>
  <c r="AJ612" i="41"/>
  <c r="AK612" i="41" s="1"/>
  <c r="R612" i="41" s="1"/>
  <c r="U612" i="41" s="1"/>
  <c r="AJ604" i="41"/>
  <c r="AK604" i="41" s="1"/>
  <c r="R604" i="41" s="1"/>
  <c r="U604" i="41" s="1"/>
  <c r="AJ596" i="41"/>
  <c r="AK596" i="41" s="1"/>
  <c r="R596" i="41" s="1"/>
  <c r="U596" i="41" s="1"/>
  <c r="AJ588" i="41"/>
  <c r="AK588" i="41" s="1"/>
  <c r="R588" i="41" s="1"/>
  <c r="U588" i="41" s="1"/>
  <c r="AJ580" i="41"/>
  <c r="AK580" i="41" s="1"/>
  <c r="R580" i="41" s="1"/>
  <c r="U580" i="41" s="1"/>
  <c r="AJ572" i="41"/>
  <c r="AK572" i="41" s="1"/>
  <c r="R572" i="41" s="1"/>
  <c r="U572" i="41" s="1"/>
  <c r="AJ564" i="41"/>
  <c r="AK564" i="41" s="1"/>
  <c r="R564" i="41" s="1"/>
  <c r="U564" i="41" s="1"/>
  <c r="AJ556" i="41"/>
  <c r="AK556" i="41" s="1"/>
  <c r="R556" i="41" s="1"/>
  <c r="U556" i="41" s="1"/>
  <c r="AJ548" i="41"/>
  <c r="AK548" i="41" s="1"/>
  <c r="R548" i="41" s="1"/>
  <c r="U548" i="41" s="1"/>
  <c r="AJ546" i="41"/>
  <c r="AJ594" i="41"/>
  <c r="AK594" i="41" s="1"/>
  <c r="R594" i="41" s="1"/>
  <c r="U594" i="41" s="1"/>
  <c r="AH584" i="41"/>
  <c r="AI584" i="41" s="1"/>
  <c r="AH576" i="41"/>
  <c r="AI576" i="41" s="1"/>
  <c r="AJ563" i="41"/>
  <c r="AK563" i="41" s="1"/>
  <c r="R563" i="41" s="1"/>
  <c r="U563" i="41" s="1"/>
  <c r="AJ598" i="41"/>
  <c r="AJ566" i="41"/>
  <c r="AJ560" i="41"/>
  <c r="AK560" i="41" s="1"/>
  <c r="R560" i="41" s="1"/>
  <c r="U560" i="41" s="1"/>
  <c r="AJ543" i="41"/>
  <c r="AK543" i="41" s="1"/>
  <c r="R543" i="41" s="1"/>
  <c r="U543" i="41" s="1"/>
  <c r="AJ579" i="41"/>
  <c r="AK579" i="41" s="1"/>
  <c r="R579" i="41" s="1"/>
  <c r="U579" i="41" s="1"/>
  <c r="AH600" i="41"/>
  <c r="AI600" i="41" s="1"/>
  <c r="AH550" i="41"/>
  <c r="AI550" i="41" s="1"/>
  <c r="AJ562" i="41"/>
  <c r="AK562" i="41" s="1"/>
  <c r="R562" i="41" s="1"/>
  <c r="U562" i="41" s="1"/>
  <c r="AJ547" i="41"/>
  <c r="AK547" i="41" s="1"/>
  <c r="R547" i="41" s="1"/>
  <c r="U547" i="41" s="1"/>
  <c r="AJ539" i="41"/>
  <c r="AK539" i="41" s="1"/>
  <c r="R539" i="41" s="1"/>
  <c r="U539" i="41" s="1"/>
  <c r="AJ537" i="41"/>
  <c r="AK537" i="41" s="1"/>
  <c r="R537" i="41" s="1"/>
  <c r="U537" i="41" s="1"/>
  <c r="AH624" i="41"/>
  <c r="AI624" i="41" s="1"/>
  <c r="AH592" i="41"/>
  <c r="AI592" i="41" s="1"/>
  <c r="AJ620" i="41"/>
  <c r="AK620" i="41" s="1"/>
  <c r="R620" i="41" s="1"/>
  <c r="U620" i="41" s="1"/>
  <c r="AH546" i="41"/>
  <c r="AI546" i="41" s="1"/>
  <c r="V17" i="39"/>
  <c r="V19" i="39"/>
  <c r="V7" i="39"/>
  <c r="AF40" i="38"/>
  <c r="AF32" i="38"/>
  <c r="V15" i="39"/>
  <c r="V16" i="39"/>
  <c r="AC9" i="38"/>
  <c r="AE9" i="38" s="1"/>
  <c r="AP41" i="38"/>
  <c r="AK522" i="41" l="1"/>
  <c r="R522" i="41" s="1"/>
  <c r="U522" i="41" s="1"/>
  <c r="V522" i="41" s="1"/>
  <c r="AK520" i="41"/>
  <c r="R520" i="41" s="1"/>
  <c r="U520" i="41" s="1"/>
  <c r="V520" i="41" s="1"/>
  <c r="AK516" i="41"/>
  <c r="R516" i="41" s="1"/>
  <c r="U516" i="41" s="1"/>
  <c r="V516" i="41" s="1"/>
  <c r="AJ524" i="41"/>
  <c r="AK524" i="41" s="1"/>
  <c r="R524" i="41" s="1"/>
  <c r="U524" i="41" s="1"/>
  <c r="V524" i="41" s="1"/>
  <c r="AK526" i="41"/>
  <c r="R526" i="41" s="1"/>
  <c r="U526" i="41" s="1"/>
  <c r="V526" i="41" s="1"/>
  <c r="AK600" i="41"/>
  <c r="R600" i="41" s="1"/>
  <c r="U600" i="41" s="1"/>
  <c r="AK584" i="41"/>
  <c r="R584" i="41" s="1"/>
  <c r="U584" i="41" s="1"/>
  <c r="AK591" i="41"/>
  <c r="R591" i="41" s="1"/>
  <c r="U591" i="41" s="1"/>
  <c r="AK555" i="41"/>
  <c r="R555" i="41" s="1"/>
  <c r="U555" i="41" s="1"/>
  <c r="AK550" i="41"/>
  <c r="R550" i="41" s="1"/>
  <c r="U550" i="41" s="1"/>
  <c r="AK546" i="41"/>
  <c r="R546" i="41" s="1"/>
  <c r="U546" i="41" s="1"/>
  <c r="AK597" i="41"/>
  <c r="R597" i="41" s="1"/>
  <c r="U597" i="41" s="1"/>
  <c r="AK624" i="41"/>
  <c r="R624" i="41" s="1"/>
  <c r="U624" i="41" s="1"/>
  <c r="AK592" i="41"/>
  <c r="R592" i="41" s="1"/>
  <c r="U592" i="41" s="1"/>
  <c r="AK598" i="41"/>
  <c r="R598" i="41" s="1"/>
  <c r="U598" i="41" s="1"/>
  <c r="AK576" i="41"/>
  <c r="R576" i="41" s="1"/>
  <c r="U576" i="41" s="1"/>
  <c r="AK566" i="41"/>
  <c r="R566" i="41" s="1"/>
  <c r="U566" i="41" s="1"/>
  <c r="Y377" i="41"/>
  <c r="Z377" i="41" s="1"/>
  <c r="AA377" i="41" s="1"/>
  <c r="Z205" i="41"/>
  <c r="AA205" i="41" s="1"/>
  <c r="Z257" i="41"/>
  <c r="AA257" i="41" s="1"/>
  <c r="Z283" i="41"/>
  <c r="AA283" i="41" s="1"/>
  <c r="Z284" i="41"/>
  <c r="AA284" i="41" s="1"/>
  <c r="Z256" i="41"/>
  <c r="AA256" i="41" s="1"/>
  <c r="Z333" i="41"/>
  <c r="AA333" i="41" s="1"/>
  <c r="Z335" i="41"/>
  <c r="AA335" i="41" s="1"/>
  <c r="Z336" i="41"/>
  <c r="AA336" i="41" s="1"/>
  <c r="Z337" i="41"/>
  <c r="AA337" i="41" s="1"/>
  <c r="Z331" i="41"/>
  <c r="AA331" i="41" s="1"/>
  <c r="Z332" i="41"/>
  <c r="AA332" i="41" s="1"/>
  <c r="Z334" i="41"/>
  <c r="AA334" i="41" s="1"/>
  <c r="AA164" i="41"/>
  <c r="Z342" i="41"/>
  <c r="AA342" i="41" s="1"/>
  <c r="Z339" i="41"/>
  <c r="AA339" i="41" s="1"/>
  <c r="Z340" i="41"/>
  <c r="AA340" i="41" s="1"/>
  <c r="Z341" i="41"/>
  <c r="AA341" i="41" s="1"/>
  <c r="Z273" i="41"/>
  <c r="AA273" i="41" s="1"/>
  <c r="Z363" i="41"/>
  <c r="AA363" i="41" s="1"/>
  <c r="Z338" i="41"/>
  <c r="AA338" i="41" s="1"/>
  <c r="K64" i="41" l="1"/>
  <c r="K430" i="41"/>
  <c r="P56" i="41" l="1"/>
  <c r="X56" i="41" s="1"/>
  <c r="Q56" i="41"/>
  <c r="AC56" i="41"/>
  <c r="AE56" i="41"/>
  <c r="AM56" i="41"/>
  <c r="P57" i="41"/>
  <c r="X57" i="41" s="1"/>
  <c r="Q57" i="41"/>
  <c r="AC57" i="41"/>
  <c r="AE57" i="41"/>
  <c r="AM57" i="41"/>
  <c r="AN57" i="41" s="1"/>
  <c r="AO57" i="41" s="1"/>
  <c r="P58" i="41"/>
  <c r="X58" i="41" s="1"/>
  <c r="Q58" i="41"/>
  <c r="AC58" i="41"/>
  <c r="AE58" i="41"/>
  <c r="AM58" i="41"/>
  <c r="AN58" i="41" s="1"/>
  <c r="AO58" i="41" s="1"/>
  <c r="P59" i="41"/>
  <c r="X59" i="41" s="1"/>
  <c r="Q59" i="41"/>
  <c r="AC59" i="41"/>
  <c r="AE59" i="41"/>
  <c r="AM59" i="41"/>
  <c r="AN59" i="41" s="1"/>
  <c r="AO59" i="41" s="1"/>
  <c r="P60" i="41"/>
  <c r="X60" i="41" s="1"/>
  <c r="Q60" i="41"/>
  <c r="AC60" i="41"/>
  <c r="AE60" i="41"/>
  <c r="AM60" i="41"/>
  <c r="AN60" i="41" s="1"/>
  <c r="AO60" i="41" s="1"/>
  <c r="P61" i="41"/>
  <c r="X61" i="41" s="1"/>
  <c r="Q61" i="41"/>
  <c r="AC61" i="41"/>
  <c r="AE61" i="41"/>
  <c r="AM61" i="41"/>
  <c r="AN61" i="41" s="1"/>
  <c r="AO61" i="41" s="1"/>
  <c r="P62" i="41"/>
  <c r="X62" i="41" s="1"/>
  <c r="Q62" i="41"/>
  <c r="AC62" i="41"/>
  <c r="AE62" i="41"/>
  <c r="AM62" i="41"/>
  <c r="AN62" i="41" s="1"/>
  <c r="AO62" i="41" s="1"/>
  <c r="S62" i="41" s="1"/>
  <c r="P63" i="41"/>
  <c r="X63" i="41" s="1"/>
  <c r="Q63" i="41"/>
  <c r="AC63" i="41"/>
  <c r="AE63" i="41"/>
  <c r="AM63" i="41"/>
  <c r="AN63" i="41" s="1"/>
  <c r="AO63" i="41" s="1"/>
  <c r="P64" i="41"/>
  <c r="X64" i="41" s="1"/>
  <c r="Q64" i="41"/>
  <c r="AC64" i="41"/>
  <c r="AE64" i="41"/>
  <c r="AM64" i="41"/>
  <c r="AN64" i="41" s="1"/>
  <c r="AO64" i="41" s="1"/>
  <c r="S64" i="41" s="1"/>
  <c r="P65" i="41"/>
  <c r="X65" i="41" s="1"/>
  <c r="Q65" i="41"/>
  <c r="AC65" i="41"/>
  <c r="AE65" i="41"/>
  <c r="AM65" i="41"/>
  <c r="AN65" i="41" s="1"/>
  <c r="AO65" i="41" s="1"/>
  <c r="P66" i="41"/>
  <c r="X66" i="41" s="1"/>
  <c r="Q66" i="41"/>
  <c r="V66" i="41" s="1"/>
  <c r="AC66" i="41"/>
  <c r="AE66" i="41"/>
  <c r="AM66" i="41"/>
  <c r="AN66" i="41" s="1"/>
  <c r="AO66" i="41" s="1"/>
  <c r="P67" i="41"/>
  <c r="X67" i="41" s="1"/>
  <c r="Q67" i="41"/>
  <c r="V67" i="41" s="1"/>
  <c r="AC67" i="41"/>
  <c r="AE67" i="41"/>
  <c r="AM67" i="41"/>
  <c r="AN67" i="41" s="1"/>
  <c r="AO67" i="41" s="1"/>
  <c r="P68" i="41"/>
  <c r="X68" i="41" s="1"/>
  <c r="Q68" i="41"/>
  <c r="AC68" i="41"/>
  <c r="AE68" i="41"/>
  <c r="AM68" i="41"/>
  <c r="AN68" i="41" s="1"/>
  <c r="AO68" i="41" s="1"/>
  <c r="P69" i="41"/>
  <c r="X69" i="41" s="1"/>
  <c r="Q69" i="41"/>
  <c r="V69" i="41" s="1"/>
  <c r="AC69" i="41"/>
  <c r="AE69" i="41"/>
  <c r="AM69" i="41"/>
  <c r="AN69" i="41" s="1"/>
  <c r="AO69" i="41" s="1"/>
  <c r="P70" i="41"/>
  <c r="X70" i="41" s="1"/>
  <c r="Q70" i="41"/>
  <c r="V70" i="41" s="1"/>
  <c r="AC70" i="41"/>
  <c r="AE70" i="41"/>
  <c r="AM70" i="41"/>
  <c r="AN70" i="41" s="1"/>
  <c r="AO70" i="41" s="1"/>
  <c r="P71" i="41"/>
  <c r="X71" i="41" s="1"/>
  <c r="Q71" i="41"/>
  <c r="V71" i="41" s="1"/>
  <c r="AC71" i="41"/>
  <c r="AE71" i="41"/>
  <c r="AM71" i="41"/>
  <c r="AN71" i="41" s="1"/>
  <c r="AO71" i="41" s="1"/>
  <c r="P72" i="41"/>
  <c r="X72" i="41" s="1"/>
  <c r="Q72" i="41"/>
  <c r="AC72" i="41"/>
  <c r="AE72" i="41"/>
  <c r="AM72" i="41"/>
  <c r="P73" i="41"/>
  <c r="X73" i="41" s="1"/>
  <c r="Q73" i="41"/>
  <c r="AC73" i="41"/>
  <c r="AE73" i="41"/>
  <c r="AM73" i="41"/>
  <c r="P74" i="41"/>
  <c r="X74" i="41" s="1"/>
  <c r="Q74" i="41"/>
  <c r="V74" i="41" s="1"/>
  <c r="AC74" i="41"/>
  <c r="AE74" i="41"/>
  <c r="AM74" i="41"/>
  <c r="AN74" i="41" s="1"/>
  <c r="AO74" i="41" s="1"/>
  <c r="S74" i="41" s="1"/>
  <c r="P75" i="41"/>
  <c r="X75" i="41" s="1"/>
  <c r="Q75" i="41"/>
  <c r="V75" i="41" s="1"/>
  <c r="AC75" i="41"/>
  <c r="AE75" i="41"/>
  <c r="AM75" i="41"/>
  <c r="AN75" i="41" s="1"/>
  <c r="AO75" i="41" s="1"/>
  <c r="P76" i="41"/>
  <c r="X76" i="41" s="1"/>
  <c r="Q76" i="41"/>
  <c r="V76" i="41" s="1"/>
  <c r="AC76" i="41"/>
  <c r="AE76" i="41"/>
  <c r="AM76" i="41"/>
  <c r="AN76" i="41" s="1"/>
  <c r="AO76" i="41" s="1"/>
  <c r="P77" i="41"/>
  <c r="X77" i="41" s="1"/>
  <c r="Q77" i="41"/>
  <c r="AC77" i="41"/>
  <c r="AE77" i="41"/>
  <c r="AM77" i="41"/>
  <c r="AN77" i="41" s="1"/>
  <c r="AO77" i="41" s="1"/>
  <c r="P78" i="41"/>
  <c r="X78" i="41" s="1"/>
  <c r="Q78" i="41"/>
  <c r="AC78" i="41"/>
  <c r="AE78" i="41"/>
  <c r="AM78" i="41"/>
  <c r="AN78" i="41" s="1"/>
  <c r="AO78" i="41" s="1"/>
  <c r="P79" i="41"/>
  <c r="X79" i="41" s="1"/>
  <c r="Q79" i="41"/>
  <c r="AC79" i="41"/>
  <c r="AE79" i="41"/>
  <c r="AM79" i="41"/>
  <c r="AN79" i="41" s="1"/>
  <c r="AO79" i="41" s="1"/>
  <c r="P80" i="41"/>
  <c r="X80" i="41" s="1"/>
  <c r="Q80" i="41"/>
  <c r="AC80" i="41"/>
  <c r="AE80" i="41"/>
  <c r="AM80" i="41"/>
  <c r="AN80" i="41" s="1"/>
  <c r="AO80" i="41" s="1"/>
  <c r="P81" i="41"/>
  <c r="X81" i="41" s="1"/>
  <c r="Q81" i="41"/>
  <c r="AC81" i="41"/>
  <c r="AE81" i="41"/>
  <c r="AM81" i="41"/>
  <c r="AN81" i="41" s="1"/>
  <c r="AO81" i="41" s="1"/>
  <c r="P82" i="41"/>
  <c r="X82" i="41" s="1"/>
  <c r="Q82" i="41"/>
  <c r="AC82" i="41"/>
  <c r="AE82" i="41"/>
  <c r="AM82" i="41"/>
  <c r="P83" i="41"/>
  <c r="X83" i="41" s="1"/>
  <c r="Q83" i="41"/>
  <c r="AC83" i="41"/>
  <c r="AE83" i="41"/>
  <c r="AM83" i="41"/>
  <c r="AN83" i="41" s="1"/>
  <c r="AO83" i="41" s="1"/>
  <c r="P84" i="41"/>
  <c r="X84" i="41" s="1"/>
  <c r="Q84" i="41"/>
  <c r="AC84" i="41"/>
  <c r="AE84" i="41"/>
  <c r="AM84" i="41"/>
  <c r="P85" i="41"/>
  <c r="X85" i="41" s="1"/>
  <c r="Q85" i="41"/>
  <c r="V85" i="41" s="1"/>
  <c r="AC85" i="41"/>
  <c r="AE85" i="41"/>
  <c r="AM85" i="41"/>
  <c r="AN85" i="41" s="1"/>
  <c r="AO85" i="41" s="1"/>
  <c r="P86" i="41"/>
  <c r="X86" i="41" s="1"/>
  <c r="Q86" i="41"/>
  <c r="AC86" i="41"/>
  <c r="AE86" i="41"/>
  <c r="AM86" i="41"/>
  <c r="P87" i="41"/>
  <c r="X87" i="41" s="1"/>
  <c r="Q87" i="41"/>
  <c r="V87" i="41" s="1"/>
  <c r="AC87" i="41"/>
  <c r="AE87" i="41"/>
  <c r="AM87" i="41"/>
  <c r="AN87" i="41" s="1"/>
  <c r="AO87" i="41" s="1"/>
  <c r="P88" i="41"/>
  <c r="X88" i="41" s="1"/>
  <c r="Q88" i="41"/>
  <c r="AC88" i="41"/>
  <c r="AE88" i="41"/>
  <c r="AM88" i="41"/>
  <c r="P89" i="41"/>
  <c r="Q89" i="41"/>
  <c r="AC89" i="41"/>
  <c r="AE89" i="41"/>
  <c r="AM89" i="41"/>
  <c r="P90" i="41"/>
  <c r="X90" i="41" s="1"/>
  <c r="Q90" i="41"/>
  <c r="AC90" i="41"/>
  <c r="AE90" i="41"/>
  <c r="AM90" i="41"/>
  <c r="AN90" i="41" s="1"/>
  <c r="AO90" i="41" s="1"/>
  <c r="P91" i="41"/>
  <c r="X91" i="41" s="1"/>
  <c r="Q91" i="41"/>
  <c r="AC91" i="41"/>
  <c r="AE91" i="41"/>
  <c r="AM91" i="41"/>
  <c r="AN91" i="41" s="1"/>
  <c r="AO91" i="41" s="1"/>
  <c r="P92" i="41"/>
  <c r="X92" i="41" s="1"/>
  <c r="Q92" i="41"/>
  <c r="AC92" i="41"/>
  <c r="AE92" i="41"/>
  <c r="AM92" i="41"/>
  <c r="AN92" i="41" s="1"/>
  <c r="AO92" i="41" s="1"/>
  <c r="P93" i="41"/>
  <c r="X93" i="41" s="1"/>
  <c r="Q93" i="41"/>
  <c r="AC93" i="41"/>
  <c r="AE93" i="41"/>
  <c r="AM93" i="41"/>
  <c r="AN93" i="41" s="1"/>
  <c r="AO93" i="41" s="1"/>
  <c r="P94" i="41"/>
  <c r="X94" i="41" s="1"/>
  <c r="Q94" i="41"/>
  <c r="AC94" i="41"/>
  <c r="AE94" i="41"/>
  <c r="AM94" i="41"/>
  <c r="AN94" i="41" s="1"/>
  <c r="AO94" i="41" s="1"/>
  <c r="P95" i="41"/>
  <c r="X95" i="41" s="1"/>
  <c r="Q95" i="41"/>
  <c r="V95" i="41" s="1"/>
  <c r="AC95" i="41"/>
  <c r="AE95" i="41"/>
  <c r="AM95" i="41"/>
  <c r="AN95" i="41" s="1"/>
  <c r="AO95" i="41" s="1"/>
  <c r="P96" i="41"/>
  <c r="X96" i="41" s="1"/>
  <c r="Q96" i="41"/>
  <c r="AC96" i="41"/>
  <c r="AE96" i="41"/>
  <c r="AM96" i="41"/>
  <c r="AN96" i="41" s="1"/>
  <c r="AO96" i="41" s="1"/>
  <c r="AP96" i="41" s="1"/>
  <c r="S96" i="41" s="1"/>
  <c r="P97" i="41"/>
  <c r="X97" i="41" s="1"/>
  <c r="Q97" i="41"/>
  <c r="AC97" i="41"/>
  <c r="AE97" i="41"/>
  <c r="AM97" i="41"/>
  <c r="P98" i="41"/>
  <c r="X98" i="41" s="1"/>
  <c r="Q98" i="41"/>
  <c r="AC98" i="41"/>
  <c r="AE98" i="41"/>
  <c r="AM98" i="41"/>
  <c r="P99" i="41"/>
  <c r="X99" i="41" s="1"/>
  <c r="Q99" i="41"/>
  <c r="AC99" i="41"/>
  <c r="AE99" i="41"/>
  <c r="AM99" i="41"/>
  <c r="AN99" i="41" s="1"/>
  <c r="AO99" i="41" s="1"/>
  <c r="P100" i="41"/>
  <c r="Q100" i="41"/>
  <c r="AC100" i="41"/>
  <c r="AE100" i="41"/>
  <c r="AM100" i="41"/>
  <c r="AN100" i="41" s="1"/>
  <c r="AO100" i="41" s="1"/>
  <c r="P101" i="41"/>
  <c r="Q101" i="41"/>
  <c r="AC101" i="41"/>
  <c r="AE101" i="41"/>
  <c r="AM101" i="41"/>
  <c r="P102" i="41"/>
  <c r="X102" i="41" s="1"/>
  <c r="Q102" i="41"/>
  <c r="AC102" i="41"/>
  <c r="AE102" i="41"/>
  <c r="AM102" i="41"/>
  <c r="AN102" i="41" s="1"/>
  <c r="AO102" i="41" s="1"/>
  <c r="P103" i="41"/>
  <c r="X103" i="41" s="1"/>
  <c r="Q103" i="41"/>
  <c r="AC103" i="41"/>
  <c r="AE103" i="41"/>
  <c r="AM103" i="41"/>
  <c r="AN103" i="41" s="1"/>
  <c r="AO103" i="41" s="1"/>
  <c r="P104" i="41"/>
  <c r="X104" i="41" s="1"/>
  <c r="Q104" i="41"/>
  <c r="AC104" i="41"/>
  <c r="AE104" i="41"/>
  <c r="AM104" i="41"/>
  <c r="AN104" i="41" s="1"/>
  <c r="AO104" i="41" s="1"/>
  <c r="P105" i="41"/>
  <c r="Q105" i="41"/>
  <c r="AC105" i="41"/>
  <c r="AE105" i="41"/>
  <c r="AM105" i="41"/>
  <c r="P106" i="41"/>
  <c r="Q106" i="41"/>
  <c r="AC106" i="41"/>
  <c r="AE106" i="41"/>
  <c r="AM106" i="41"/>
  <c r="P107" i="41"/>
  <c r="X107" i="41" s="1"/>
  <c r="Q107" i="41"/>
  <c r="AC107" i="41"/>
  <c r="AE107" i="41"/>
  <c r="AM107" i="41"/>
  <c r="AN107" i="41" s="1"/>
  <c r="AO107" i="41" s="1"/>
  <c r="AP107" i="41" s="1"/>
  <c r="S107" i="41" s="1"/>
  <c r="P108" i="41"/>
  <c r="X108" i="41" s="1"/>
  <c r="Q108" i="41"/>
  <c r="AC108" i="41"/>
  <c r="AE108" i="41"/>
  <c r="AM108" i="41"/>
  <c r="P109" i="41"/>
  <c r="X109" i="41" s="1"/>
  <c r="Q109" i="41"/>
  <c r="AC109" i="41"/>
  <c r="AE109" i="41"/>
  <c r="AM109" i="41"/>
  <c r="AN109" i="41" s="1"/>
  <c r="AO109" i="41" s="1"/>
  <c r="P110" i="41"/>
  <c r="X110" i="41" s="1"/>
  <c r="Q110" i="41"/>
  <c r="AC110" i="41"/>
  <c r="AE110" i="41"/>
  <c r="AM110" i="41"/>
  <c r="AN110" i="41" s="1"/>
  <c r="AO110" i="41" s="1"/>
  <c r="P111" i="41"/>
  <c r="X111" i="41" s="1"/>
  <c r="Q111" i="41"/>
  <c r="V111" i="41" s="1"/>
  <c r="AC111" i="41"/>
  <c r="AE111" i="41"/>
  <c r="AM111" i="41"/>
  <c r="AN111" i="41" s="1"/>
  <c r="AO111" i="41" s="1"/>
  <c r="P112" i="41"/>
  <c r="X112" i="41" s="1"/>
  <c r="Q112" i="41"/>
  <c r="V112" i="41" s="1"/>
  <c r="AC112" i="41"/>
  <c r="AE112" i="41"/>
  <c r="AM112" i="41"/>
  <c r="AN112" i="41" s="1"/>
  <c r="AO112" i="41" s="1"/>
  <c r="P113" i="41"/>
  <c r="X113" i="41" s="1"/>
  <c r="Q113" i="41"/>
  <c r="V113" i="41" s="1"/>
  <c r="AC113" i="41"/>
  <c r="AE113" i="41"/>
  <c r="AM113" i="41"/>
  <c r="AN113" i="41" s="1"/>
  <c r="AO113" i="41" s="1"/>
  <c r="P114" i="41"/>
  <c r="X114" i="41" s="1"/>
  <c r="Q114" i="41"/>
  <c r="V114" i="41" s="1"/>
  <c r="AC114" i="41"/>
  <c r="AE114" i="41"/>
  <c r="AM114" i="41"/>
  <c r="AN114" i="41" s="1"/>
  <c r="AO114" i="41" s="1"/>
  <c r="P115" i="41"/>
  <c r="X115" i="41" s="1"/>
  <c r="Q115" i="41"/>
  <c r="V115" i="41" s="1"/>
  <c r="AC115" i="41"/>
  <c r="AE115" i="41"/>
  <c r="AM115" i="41"/>
  <c r="AN115" i="41" s="1"/>
  <c r="AO115" i="41" s="1"/>
  <c r="AP115" i="41" s="1"/>
  <c r="S115" i="41" s="1"/>
  <c r="P116" i="41"/>
  <c r="X116" i="41" s="1"/>
  <c r="Q116" i="41"/>
  <c r="V116" i="41" s="1"/>
  <c r="AC116" i="41"/>
  <c r="AE116" i="41"/>
  <c r="AM116" i="41"/>
  <c r="AN116" i="41" s="1"/>
  <c r="AO116" i="41" s="1"/>
  <c r="AP116" i="41" s="1"/>
  <c r="S116" i="41" s="1"/>
  <c r="P117" i="41"/>
  <c r="X117" i="41" s="1"/>
  <c r="Q117" i="41"/>
  <c r="V117" i="41" s="1"/>
  <c r="AC117" i="41"/>
  <c r="AE117" i="41"/>
  <c r="AM117" i="41"/>
  <c r="AN117" i="41" s="1"/>
  <c r="AO117" i="41" s="1"/>
  <c r="AP117" i="41" s="1"/>
  <c r="S117" i="41" s="1"/>
  <c r="P118" i="41"/>
  <c r="X118" i="41" s="1"/>
  <c r="Q118" i="41"/>
  <c r="V118" i="41" s="1"/>
  <c r="AC118" i="41"/>
  <c r="AE118" i="41"/>
  <c r="AM118" i="41"/>
  <c r="AN118" i="41" s="1"/>
  <c r="AO118" i="41" s="1"/>
  <c r="AP118" i="41" s="1"/>
  <c r="S118" i="41" s="1"/>
  <c r="P119" i="41"/>
  <c r="X119" i="41" s="1"/>
  <c r="Q119" i="41"/>
  <c r="V119" i="41" s="1"/>
  <c r="AC119" i="41"/>
  <c r="AE119" i="41"/>
  <c r="AM119" i="41"/>
  <c r="AN119" i="41" s="1"/>
  <c r="AO119" i="41" s="1"/>
  <c r="AP119" i="41" s="1"/>
  <c r="S119" i="41" s="1"/>
  <c r="P120" i="41"/>
  <c r="X120" i="41" s="1"/>
  <c r="Q120" i="41"/>
  <c r="V120" i="41" s="1"/>
  <c r="AC120" i="41"/>
  <c r="AE120" i="41"/>
  <c r="AM120" i="41"/>
  <c r="AN120" i="41" s="1"/>
  <c r="AO120" i="41" s="1"/>
  <c r="AP120" i="41" s="1"/>
  <c r="S120" i="41" s="1"/>
  <c r="P121" i="41"/>
  <c r="X121" i="41" s="1"/>
  <c r="Q121" i="41"/>
  <c r="AC121" i="41"/>
  <c r="AE121" i="41"/>
  <c r="AM121" i="41"/>
  <c r="AN121" i="41" s="1"/>
  <c r="AO121" i="41" s="1"/>
  <c r="P122" i="41"/>
  <c r="X122" i="41" s="1"/>
  <c r="Q122" i="41"/>
  <c r="AC122" i="41"/>
  <c r="AE122" i="41"/>
  <c r="AM122" i="41"/>
  <c r="AN122" i="41" s="1"/>
  <c r="AO122" i="41" s="1"/>
  <c r="P123" i="41"/>
  <c r="X123" i="41" s="1"/>
  <c r="Q123" i="41"/>
  <c r="AC123" i="41"/>
  <c r="AE123" i="41"/>
  <c r="AM123" i="41"/>
  <c r="AN123" i="41" s="1"/>
  <c r="AO123" i="41" s="1"/>
  <c r="P124" i="41"/>
  <c r="X124" i="41" s="1"/>
  <c r="Q124" i="41"/>
  <c r="AC124" i="41"/>
  <c r="AE124" i="41"/>
  <c r="AM124" i="41"/>
  <c r="AN124" i="41" s="1"/>
  <c r="AO124" i="41" s="1"/>
  <c r="P125" i="41"/>
  <c r="X125" i="41" s="1"/>
  <c r="Q125" i="41"/>
  <c r="AC125" i="41"/>
  <c r="AE125" i="41"/>
  <c r="AM125" i="41"/>
  <c r="AN125" i="41" s="1"/>
  <c r="AO125" i="41" s="1"/>
  <c r="P126" i="41"/>
  <c r="X126" i="41" s="1"/>
  <c r="Q126" i="41"/>
  <c r="AC126" i="41"/>
  <c r="AE126" i="41"/>
  <c r="AM126" i="41"/>
  <c r="AN126" i="41" s="1"/>
  <c r="AO126" i="41" s="1"/>
  <c r="P127" i="41"/>
  <c r="X127" i="41" s="1"/>
  <c r="Q127" i="41"/>
  <c r="AC127" i="41"/>
  <c r="AE127" i="41"/>
  <c r="AM127" i="41"/>
  <c r="AN127" i="41" s="1"/>
  <c r="AO127" i="41" s="1"/>
  <c r="P128" i="41"/>
  <c r="X128" i="41" s="1"/>
  <c r="Q128" i="41"/>
  <c r="AC128" i="41"/>
  <c r="AE128" i="41"/>
  <c r="AM128" i="41"/>
  <c r="AN128" i="41" s="1"/>
  <c r="AO128" i="41" s="1"/>
  <c r="P129" i="41"/>
  <c r="X129" i="41" s="1"/>
  <c r="Q129" i="41"/>
  <c r="AC129" i="41"/>
  <c r="AE129" i="41"/>
  <c r="AM129" i="41"/>
  <c r="P130" i="41"/>
  <c r="X130" i="41" s="1"/>
  <c r="Q130" i="41"/>
  <c r="AC130" i="41"/>
  <c r="AE130" i="41"/>
  <c r="AM130" i="41"/>
  <c r="AN130" i="41" s="1"/>
  <c r="AO130" i="41" s="1"/>
  <c r="P131" i="41"/>
  <c r="X131" i="41" s="1"/>
  <c r="Q131" i="41"/>
  <c r="AC131" i="41"/>
  <c r="AE131" i="41"/>
  <c r="AM131" i="41"/>
  <c r="P132" i="41"/>
  <c r="Q132" i="41"/>
  <c r="AC132" i="41"/>
  <c r="AE132" i="41"/>
  <c r="AM132" i="41"/>
  <c r="P133" i="41"/>
  <c r="X133" i="41" s="1"/>
  <c r="Q133" i="41"/>
  <c r="AC133" i="41"/>
  <c r="AE133" i="41"/>
  <c r="AM133" i="41"/>
  <c r="AN133" i="41" s="1"/>
  <c r="AO133" i="41" s="1"/>
  <c r="P134" i="41"/>
  <c r="X134" i="41" s="1"/>
  <c r="Q134" i="41"/>
  <c r="AC134" i="41"/>
  <c r="AE134" i="41"/>
  <c r="AM134" i="41"/>
  <c r="P135" i="41"/>
  <c r="X135" i="41" s="1"/>
  <c r="Q135" i="41"/>
  <c r="AC135" i="41"/>
  <c r="AE135" i="41"/>
  <c r="AM135" i="41"/>
  <c r="AN135" i="41" s="1"/>
  <c r="AO135" i="41" s="1"/>
  <c r="P136" i="41"/>
  <c r="X136" i="41" s="1"/>
  <c r="Q136" i="41"/>
  <c r="AC136" i="41"/>
  <c r="AE136" i="41"/>
  <c r="AM136" i="41"/>
  <c r="AN136" i="41" s="1"/>
  <c r="AO136" i="41" s="1"/>
  <c r="P137" i="41"/>
  <c r="X137" i="41" s="1"/>
  <c r="Q137" i="41"/>
  <c r="AC137" i="41"/>
  <c r="AE137" i="41"/>
  <c r="AM137" i="41"/>
  <c r="AN137" i="41" s="1"/>
  <c r="AO137" i="41" s="1"/>
  <c r="AP137" i="41" s="1"/>
  <c r="S137" i="41" s="1"/>
  <c r="P138" i="41"/>
  <c r="X138" i="41" s="1"/>
  <c r="Q138" i="41"/>
  <c r="AC138" i="41"/>
  <c r="AE138" i="41"/>
  <c r="AM138" i="41"/>
  <c r="AN138" i="41" s="1"/>
  <c r="AO138" i="41" s="1"/>
  <c r="P139" i="41"/>
  <c r="X139" i="41" s="1"/>
  <c r="Q139" i="41"/>
  <c r="AC139" i="41"/>
  <c r="AE139" i="41"/>
  <c r="AM139" i="41"/>
  <c r="AN139" i="41" s="1"/>
  <c r="AO139" i="41" s="1"/>
  <c r="P140" i="41"/>
  <c r="X140" i="41" s="1"/>
  <c r="Q140" i="41"/>
  <c r="AC140" i="41"/>
  <c r="AE140" i="41"/>
  <c r="AM140" i="41"/>
  <c r="AN140" i="41" s="1"/>
  <c r="AO140" i="41" s="1"/>
  <c r="AP140" i="41" s="1"/>
  <c r="S140" i="41" s="1"/>
  <c r="P141" i="41"/>
  <c r="X141" i="41" s="1"/>
  <c r="Q141" i="41"/>
  <c r="AC141" i="41"/>
  <c r="AE141" i="41"/>
  <c r="AM141" i="41"/>
  <c r="AN141" i="41" s="1"/>
  <c r="AO141" i="41" s="1"/>
  <c r="AP141" i="41" s="1"/>
  <c r="S141" i="41" s="1"/>
  <c r="P142" i="41"/>
  <c r="X142" i="41" s="1"/>
  <c r="Q142" i="41"/>
  <c r="AC142" i="41"/>
  <c r="AE142" i="41"/>
  <c r="AM142" i="41"/>
  <c r="AN142" i="41" s="1"/>
  <c r="AO142" i="41" s="1"/>
  <c r="AP142" i="41" s="1"/>
  <c r="S142" i="41" s="1"/>
  <c r="P143" i="41"/>
  <c r="Q143" i="41"/>
  <c r="AC143" i="41"/>
  <c r="AE143" i="41"/>
  <c r="AM143" i="41"/>
  <c r="P144" i="41"/>
  <c r="Q144" i="41"/>
  <c r="AC144" i="41"/>
  <c r="AE144" i="41"/>
  <c r="AM144" i="41"/>
  <c r="P145" i="41"/>
  <c r="X145" i="41" s="1"/>
  <c r="Q145" i="41"/>
  <c r="AC145" i="41"/>
  <c r="AE145" i="41"/>
  <c r="AM145" i="41"/>
  <c r="P146" i="41"/>
  <c r="X146" i="41" s="1"/>
  <c r="Q146" i="41"/>
  <c r="AC146" i="41"/>
  <c r="AE146" i="41"/>
  <c r="AM146" i="41"/>
  <c r="AN146" i="41" s="1"/>
  <c r="AO146" i="41" s="1"/>
  <c r="P147" i="41"/>
  <c r="X147" i="41" s="1"/>
  <c r="Q147" i="41"/>
  <c r="AC147" i="41"/>
  <c r="AE147" i="41"/>
  <c r="AM147" i="41"/>
  <c r="P148" i="41"/>
  <c r="X148" i="41" s="1"/>
  <c r="Q148" i="41"/>
  <c r="AC148" i="41"/>
  <c r="AE148" i="41"/>
  <c r="AM148" i="41"/>
  <c r="P149" i="41"/>
  <c r="X149" i="41" s="1"/>
  <c r="Q149" i="41"/>
  <c r="V149" i="41" s="1"/>
  <c r="AC149" i="41"/>
  <c r="AE149" i="41"/>
  <c r="AM149" i="41"/>
  <c r="P150" i="41"/>
  <c r="X150" i="41" s="1"/>
  <c r="Q150" i="41"/>
  <c r="AC150" i="41"/>
  <c r="AE150" i="41"/>
  <c r="AM150" i="41"/>
  <c r="P151" i="41"/>
  <c r="X151" i="41" s="1"/>
  <c r="Q151" i="41"/>
  <c r="AC151" i="41"/>
  <c r="AE151" i="41"/>
  <c r="AM151" i="41"/>
  <c r="AN151" i="41" s="1"/>
  <c r="AO151" i="41" s="1"/>
  <c r="P152" i="41"/>
  <c r="X152" i="41" s="1"/>
  <c r="Q152" i="41"/>
  <c r="V152" i="41" s="1"/>
  <c r="AC152" i="41"/>
  <c r="AE152" i="41"/>
  <c r="AM152" i="41"/>
  <c r="P153" i="41"/>
  <c r="X153" i="41" s="1"/>
  <c r="Q153" i="41"/>
  <c r="AC153" i="41"/>
  <c r="AE153" i="41"/>
  <c r="AM153" i="41"/>
  <c r="P154" i="41"/>
  <c r="X154" i="41" s="1"/>
  <c r="Q154" i="41"/>
  <c r="V154" i="41" s="1"/>
  <c r="AC154" i="41"/>
  <c r="AE154" i="41"/>
  <c r="AM154" i="41"/>
  <c r="AN154" i="41" s="1"/>
  <c r="AO154" i="41" s="1"/>
  <c r="P155" i="41"/>
  <c r="X155" i="41" s="1"/>
  <c r="Q155" i="41"/>
  <c r="AC155" i="41"/>
  <c r="AE155" i="41"/>
  <c r="AM155" i="41"/>
  <c r="AN155" i="41" s="1"/>
  <c r="AO155" i="41" s="1"/>
  <c r="P156" i="41"/>
  <c r="X156" i="41" s="1"/>
  <c r="Q156" i="41"/>
  <c r="AC156" i="41"/>
  <c r="AE156" i="41"/>
  <c r="AM156" i="41"/>
  <c r="AN156" i="41" s="1"/>
  <c r="AO156" i="41" s="1"/>
  <c r="P157" i="41"/>
  <c r="X157" i="41" s="1"/>
  <c r="Q157" i="41"/>
  <c r="V157" i="41" s="1"/>
  <c r="AC157" i="41"/>
  <c r="AE157" i="41"/>
  <c r="AM157" i="41"/>
  <c r="P158" i="41"/>
  <c r="X158" i="41" s="1"/>
  <c r="Q158" i="41"/>
  <c r="V158" i="41" s="1"/>
  <c r="AC158" i="41"/>
  <c r="AE158" i="41"/>
  <c r="AM158" i="41"/>
  <c r="AN158" i="41" s="1"/>
  <c r="AO158" i="41" s="1"/>
  <c r="P159" i="41"/>
  <c r="X159" i="41" s="1"/>
  <c r="Q159" i="41"/>
  <c r="V159" i="41" s="1"/>
  <c r="AC159" i="41"/>
  <c r="AE159" i="41"/>
  <c r="AM159" i="41"/>
  <c r="P160" i="41"/>
  <c r="Q160" i="41"/>
  <c r="V160" i="41" s="1"/>
  <c r="AC160" i="41"/>
  <c r="AE160" i="41"/>
  <c r="AM160" i="41"/>
  <c r="P161" i="41"/>
  <c r="X161" i="41" s="1"/>
  <c r="Q161" i="41"/>
  <c r="V161" i="41" s="1"/>
  <c r="AC161" i="41"/>
  <c r="AE161" i="41"/>
  <c r="AM161" i="41"/>
  <c r="AN161" i="41" s="1"/>
  <c r="AO161" i="41" s="1"/>
  <c r="P162" i="41"/>
  <c r="X162" i="41" s="1"/>
  <c r="Q162" i="41"/>
  <c r="V162" i="41" s="1"/>
  <c r="AC162" i="41"/>
  <c r="AE162" i="41"/>
  <c r="AM162" i="41"/>
  <c r="AN162" i="41" s="1"/>
  <c r="AO162" i="41" s="1"/>
  <c r="P163" i="41"/>
  <c r="X163" i="41" s="1"/>
  <c r="Q163" i="41"/>
  <c r="V163" i="41" s="1"/>
  <c r="AC163" i="41"/>
  <c r="AE163" i="41"/>
  <c r="AM163" i="41"/>
  <c r="AN163" i="41" s="1"/>
  <c r="AO163" i="41" s="1"/>
  <c r="P164" i="41"/>
  <c r="X164" i="41" s="1"/>
  <c r="Q164" i="41"/>
  <c r="AC164" i="41"/>
  <c r="AE164" i="41"/>
  <c r="AM164" i="41"/>
  <c r="AN164" i="41" s="1"/>
  <c r="AO164" i="41" s="1"/>
  <c r="P165" i="41"/>
  <c r="X165" i="41" s="1"/>
  <c r="Q165" i="41"/>
  <c r="AC165" i="41"/>
  <c r="AE165" i="41"/>
  <c r="AM165" i="41"/>
  <c r="AN165" i="41" s="1"/>
  <c r="AO165" i="41" s="1"/>
  <c r="P166" i="41"/>
  <c r="X166" i="41" s="1"/>
  <c r="Q166" i="41"/>
  <c r="AC166" i="41"/>
  <c r="AE166" i="41"/>
  <c r="AM166" i="41"/>
  <c r="AN166" i="41" s="1"/>
  <c r="AO166" i="41" s="1"/>
  <c r="P167" i="41"/>
  <c r="X167" i="41" s="1"/>
  <c r="Q167" i="41"/>
  <c r="V167" i="41" s="1"/>
  <c r="AC167" i="41"/>
  <c r="AE167" i="41"/>
  <c r="AM167" i="41"/>
  <c r="AN167" i="41" s="1"/>
  <c r="AO167" i="41" s="1"/>
  <c r="P168" i="41"/>
  <c r="X168" i="41" s="1"/>
  <c r="Q168" i="41"/>
  <c r="AC168" i="41"/>
  <c r="AE168" i="41"/>
  <c r="AM168" i="41"/>
  <c r="AN168" i="41" s="1"/>
  <c r="AO168" i="41" s="1"/>
  <c r="P169" i="41"/>
  <c r="X169" i="41" s="1"/>
  <c r="Q169" i="41"/>
  <c r="AC169" i="41"/>
  <c r="AE169" i="41"/>
  <c r="AM169" i="41"/>
  <c r="AN169" i="41" s="1"/>
  <c r="AO169" i="41" s="1"/>
  <c r="P170" i="41"/>
  <c r="X170" i="41" s="1"/>
  <c r="Q170" i="41"/>
  <c r="AC170" i="41"/>
  <c r="AE170" i="41"/>
  <c r="AM170" i="41"/>
  <c r="AN170" i="41" s="1"/>
  <c r="AO170" i="41" s="1"/>
  <c r="P171" i="41"/>
  <c r="X171" i="41" s="1"/>
  <c r="Q171" i="41"/>
  <c r="AC171" i="41"/>
  <c r="AE171" i="41"/>
  <c r="AM171" i="41"/>
  <c r="AN171" i="41" s="1"/>
  <c r="AO171" i="41" s="1"/>
  <c r="P172" i="41"/>
  <c r="X172" i="41" s="1"/>
  <c r="Q172" i="41"/>
  <c r="AC172" i="41"/>
  <c r="AE172" i="41"/>
  <c r="AM172" i="41"/>
  <c r="AN172" i="41" s="1"/>
  <c r="AO172" i="41" s="1"/>
  <c r="P173" i="41"/>
  <c r="X173" i="41" s="1"/>
  <c r="Q173" i="41"/>
  <c r="AC173" i="41"/>
  <c r="AE173" i="41"/>
  <c r="AM173" i="41"/>
  <c r="AN173" i="41" s="1"/>
  <c r="AO173" i="41" s="1"/>
  <c r="P174" i="41"/>
  <c r="X174" i="41" s="1"/>
  <c r="Q174" i="41"/>
  <c r="AC174" i="41"/>
  <c r="AE174" i="41"/>
  <c r="AM174" i="41"/>
  <c r="AN174" i="41" s="1"/>
  <c r="AO174" i="41" s="1"/>
  <c r="P175" i="41"/>
  <c r="X175" i="41" s="1"/>
  <c r="Q175" i="41"/>
  <c r="AC175" i="41"/>
  <c r="AE175" i="41"/>
  <c r="AM175" i="41"/>
  <c r="AN175" i="41" s="1"/>
  <c r="AO175" i="41" s="1"/>
  <c r="P176" i="41"/>
  <c r="X176" i="41" s="1"/>
  <c r="Q176" i="41"/>
  <c r="AC176" i="41"/>
  <c r="AE176" i="41"/>
  <c r="AM176" i="41"/>
  <c r="AN176" i="41" s="1"/>
  <c r="AO176" i="41" s="1"/>
  <c r="P177" i="41"/>
  <c r="X177" i="41" s="1"/>
  <c r="Q177" i="41"/>
  <c r="AC177" i="41"/>
  <c r="AE177" i="41"/>
  <c r="AM177" i="41"/>
  <c r="AN177" i="41" s="1"/>
  <c r="AO177" i="41" s="1"/>
  <c r="P178" i="41"/>
  <c r="X178" i="41" s="1"/>
  <c r="Q178" i="41"/>
  <c r="V178" i="41" s="1"/>
  <c r="AC178" i="41"/>
  <c r="AE178" i="41"/>
  <c r="AM178" i="41"/>
  <c r="AN178" i="41" s="1"/>
  <c r="AO178" i="41" s="1"/>
  <c r="P179" i="41"/>
  <c r="X179" i="41" s="1"/>
  <c r="Q179" i="41"/>
  <c r="AC179" i="41"/>
  <c r="AE179" i="41"/>
  <c r="AM179" i="41"/>
  <c r="AN179" i="41" s="1"/>
  <c r="AO179" i="41" s="1"/>
  <c r="P180" i="41"/>
  <c r="X180" i="41" s="1"/>
  <c r="Q180" i="41"/>
  <c r="AC180" i="41"/>
  <c r="AE180" i="41"/>
  <c r="AM180" i="41"/>
  <c r="AN180" i="41" s="1"/>
  <c r="AO180" i="41" s="1"/>
  <c r="P181" i="41"/>
  <c r="X181" i="41" s="1"/>
  <c r="Q181" i="41"/>
  <c r="AC181" i="41"/>
  <c r="AE181" i="41"/>
  <c r="AM181" i="41"/>
  <c r="AN181" i="41" s="1"/>
  <c r="AO181" i="41" s="1"/>
  <c r="P182" i="41"/>
  <c r="X182" i="41" s="1"/>
  <c r="Q182" i="41"/>
  <c r="AC182" i="41"/>
  <c r="AE182" i="41"/>
  <c r="AM182" i="41"/>
  <c r="AN182" i="41" s="1"/>
  <c r="AO182" i="41" s="1"/>
  <c r="P183" i="41"/>
  <c r="X183" i="41" s="1"/>
  <c r="Q183" i="41"/>
  <c r="V183" i="41" s="1"/>
  <c r="AC183" i="41"/>
  <c r="AE183" i="41"/>
  <c r="AM183" i="41"/>
  <c r="AN183" i="41" s="1"/>
  <c r="AO183" i="41" s="1"/>
  <c r="P184" i="41"/>
  <c r="X184" i="41" s="1"/>
  <c r="Q184" i="41"/>
  <c r="V184" i="41" s="1"/>
  <c r="AC184" i="41"/>
  <c r="AE184" i="41"/>
  <c r="AM184" i="41"/>
  <c r="AN184" i="41" s="1"/>
  <c r="AO184" i="41" s="1"/>
  <c r="P185" i="41"/>
  <c r="X185" i="41" s="1"/>
  <c r="Q185" i="41"/>
  <c r="V185" i="41" s="1"/>
  <c r="AC185" i="41"/>
  <c r="AE185" i="41"/>
  <c r="AM185" i="41"/>
  <c r="AN185" i="41" s="1"/>
  <c r="AO185" i="41" s="1"/>
  <c r="P186" i="41"/>
  <c r="X186" i="41" s="1"/>
  <c r="Q186" i="41"/>
  <c r="V186" i="41" s="1"/>
  <c r="AC186" i="41"/>
  <c r="AE186" i="41"/>
  <c r="AM186" i="41"/>
  <c r="AN186" i="41" s="1"/>
  <c r="AO186" i="41" s="1"/>
  <c r="P187" i="41"/>
  <c r="X187" i="41" s="1"/>
  <c r="Q187" i="41"/>
  <c r="V187" i="41" s="1"/>
  <c r="AC187" i="41"/>
  <c r="AE187" i="41"/>
  <c r="AM187" i="41"/>
  <c r="AN187" i="41" s="1"/>
  <c r="AO187" i="41" s="1"/>
  <c r="P188" i="41"/>
  <c r="X188" i="41" s="1"/>
  <c r="Q188" i="41"/>
  <c r="V188" i="41" s="1"/>
  <c r="AC188" i="41"/>
  <c r="AE188" i="41"/>
  <c r="AM188" i="41"/>
  <c r="AN188" i="41" s="1"/>
  <c r="AO188" i="41" s="1"/>
  <c r="P189" i="41"/>
  <c r="X189" i="41" s="1"/>
  <c r="Q189" i="41"/>
  <c r="V189" i="41" s="1"/>
  <c r="AC189" i="41"/>
  <c r="AE189" i="41"/>
  <c r="AM189" i="41"/>
  <c r="AN189" i="41" s="1"/>
  <c r="AO189" i="41" s="1"/>
  <c r="P190" i="41"/>
  <c r="X190" i="41" s="1"/>
  <c r="Q190" i="41"/>
  <c r="V190" i="41" s="1"/>
  <c r="AC190" i="41"/>
  <c r="AE190" i="41"/>
  <c r="AM190" i="41"/>
  <c r="AN190" i="41" s="1"/>
  <c r="AO190" i="41" s="1"/>
  <c r="P191" i="41"/>
  <c r="X191" i="41" s="1"/>
  <c r="Q191" i="41"/>
  <c r="V191" i="41" s="1"/>
  <c r="AC191" i="41"/>
  <c r="AE191" i="41"/>
  <c r="AM191" i="41"/>
  <c r="AN191" i="41" s="1"/>
  <c r="AO191" i="41" s="1"/>
  <c r="P192" i="41"/>
  <c r="X192" i="41" s="1"/>
  <c r="Q192" i="41"/>
  <c r="V192" i="41" s="1"/>
  <c r="AC192" i="41"/>
  <c r="AE192" i="41"/>
  <c r="AM192" i="41"/>
  <c r="AN192" i="41" s="1"/>
  <c r="AO192" i="41" s="1"/>
  <c r="P193" i="41"/>
  <c r="X193" i="41" s="1"/>
  <c r="Q193" i="41"/>
  <c r="AC193" i="41"/>
  <c r="AE193" i="41"/>
  <c r="AM193" i="41"/>
  <c r="AN193" i="41" s="1"/>
  <c r="AO193" i="41" s="1"/>
  <c r="P194" i="41"/>
  <c r="X194" i="41" s="1"/>
  <c r="Q194" i="41"/>
  <c r="AC194" i="41"/>
  <c r="AE194" i="41"/>
  <c r="AM194" i="41"/>
  <c r="AN194" i="41" s="1"/>
  <c r="AO194" i="41" s="1"/>
  <c r="P195" i="41"/>
  <c r="X195" i="41" s="1"/>
  <c r="Q195" i="41"/>
  <c r="AC195" i="41"/>
  <c r="AE195" i="41"/>
  <c r="AM195" i="41"/>
  <c r="AN195" i="41" s="1"/>
  <c r="AO195" i="41" s="1"/>
  <c r="P196" i="41"/>
  <c r="X196" i="41" s="1"/>
  <c r="Q196" i="41"/>
  <c r="AC196" i="41"/>
  <c r="AE196" i="41"/>
  <c r="AM196" i="41"/>
  <c r="AN196" i="41" s="1"/>
  <c r="AO196" i="41" s="1"/>
  <c r="P197" i="41"/>
  <c r="X197" i="41" s="1"/>
  <c r="Q197" i="41"/>
  <c r="AC197" i="41"/>
  <c r="AE197" i="41"/>
  <c r="AM197" i="41"/>
  <c r="AN197" i="41" s="1"/>
  <c r="AO197" i="41" s="1"/>
  <c r="P198" i="41"/>
  <c r="X198" i="41" s="1"/>
  <c r="Q198" i="41"/>
  <c r="AC198" i="41"/>
  <c r="AE198" i="41"/>
  <c r="AM198" i="41"/>
  <c r="AN198" i="41" s="1"/>
  <c r="AO198" i="41" s="1"/>
  <c r="P199" i="41"/>
  <c r="X199" i="41" s="1"/>
  <c r="Q199" i="41"/>
  <c r="AC199" i="41"/>
  <c r="AE199" i="41"/>
  <c r="AM199" i="41"/>
  <c r="AN199" i="41" s="1"/>
  <c r="AO199" i="41" s="1"/>
  <c r="P200" i="41"/>
  <c r="X200" i="41" s="1"/>
  <c r="Q200" i="41"/>
  <c r="AC200" i="41"/>
  <c r="AE200" i="41"/>
  <c r="AM200" i="41"/>
  <c r="AN200" i="41" s="1"/>
  <c r="AO200" i="41" s="1"/>
  <c r="P201" i="41"/>
  <c r="X201" i="41" s="1"/>
  <c r="Q201" i="41"/>
  <c r="AC201" i="41"/>
  <c r="AE201" i="41"/>
  <c r="AM201" i="41"/>
  <c r="AN201" i="41" s="1"/>
  <c r="AO201" i="41" s="1"/>
  <c r="P202" i="41"/>
  <c r="X202" i="41" s="1"/>
  <c r="Q202" i="41"/>
  <c r="AC202" i="41"/>
  <c r="AE202" i="41"/>
  <c r="AM202" i="41"/>
  <c r="AN202" i="41" s="1"/>
  <c r="AO202" i="41" s="1"/>
  <c r="P203" i="41"/>
  <c r="X203" i="41" s="1"/>
  <c r="Q203" i="41"/>
  <c r="AC203" i="41"/>
  <c r="AE203" i="41"/>
  <c r="AM203" i="41"/>
  <c r="AN203" i="41" s="1"/>
  <c r="AO203" i="41" s="1"/>
  <c r="P204" i="41"/>
  <c r="X204" i="41" s="1"/>
  <c r="Q204" i="41"/>
  <c r="V204" i="41" s="1"/>
  <c r="AC204" i="41"/>
  <c r="AE204" i="41"/>
  <c r="AM204" i="41"/>
  <c r="AN204" i="41" s="1"/>
  <c r="AO204" i="41" s="1"/>
  <c r="P205" i="41"/>
  <c r="X205" i="41" s="1"/>
  <c r="Q205" i="41"/>
  <c r="AC205" i="41"/>
  <c r="AE205" i="41"/>
  <c r="AM205" i="41"/>
  <c r="AN205" i="41" s="1"/>
  <c r="AO205" i="41" s="1"/>
  <c r="P206" i="41"/>
  <c r="X206" i="41" s="1"/>
  <c r="Q206" i="41"/>
  <c r="AC206" i="41"/>
  <c r="AE206" i="41"/>
  <c r="AM206" i="41"/>
  <c r="AN206" i="41" s="1"/>
  <c r="AO206" i="41" s="1"/>
  <c r="P207" i="41"/>
  <c r="X207" i="41" s="1"/>
  <c r="Q207" i="41"/>
  <c r="AC207" i="41"/>
  <c r="AE207" i="41"/>
  <c r="AM207" i="41"/>
  <c r="AN207" i="41" s="1"/>
  <c r="AO207" i="41" s="1"/>
  <c r="P208" i="41"/>
  <c r="X208" i="41" s="1"/>
  <c r="Q208" i="41"/>
  <c r="V208" i="41" s="1"/>
  <c r="AC208" i="41"/>
  <c r="AE208" i="41"/>
  <c r="AM208" i="41"/>
  <c r="AN208" i="41" s="1"/>
  <c r="AO208" i="41" s="1"/>
  <c r="P209" i="41"/>
  <c r="X209" i="41" s="1"/>
  <c r="Q209" i="41"/>
  <c r="AC209" i="41"/>
  <c r="AE209" i="41"/>
  <c r="AM209" i="41"/>
  <c r="P210" i="41"/>
  <c r="X210" i="41" s="1"/>
  <c r="Q210" i="41"/>
  <c r="AC210" i="41"/>
  <c r="AE210" i="41"/>
  <c r="AM210" i="41"/>
  <c r="P211" i="41"/>
  <c r="X211" i="41" s="1"/>
  <c r="Q211" i="41"/>
  <c r="AC211" i="41"/>
  <c r="AE211" i="41"/>
  <c r="AM211" i="41"/>
  <c r="P212" i="41"/>
  <c r="X212" i="41" s="1"/>
  <c r="Q212" i="41"/>
  <c r="AC212" i="41"/>
  <c r="AE212" i="41"/>
  <c r="AM212" i="41"/>
  <c r="AN212" i="41" s="1"/>
  <c r="AO212" i="41" s="1"/>
  <c r="P213" i="41"/>
  <c r="X213" i="41" s="1"/>
  <c r="Q213" i="41"/>
  <c r="AC213" i="41"/>
  <c r="AE213" i="41"/>
  <c r="AM213" i="41"/>
  <c r="AN213" i="41" s="1"/>
  <c r="AO213" i="41" s="1"/>
  <c r="P214" i="41"/>
  <c r="X214" i="41" s="1"/>
  <c r="Q214" i="41"/>
  <c r="AC214" i="41"/>
  <c r="AE214" i="41"/>
  <c r="AM214" i="41"/>
  <c r="AN214" i="41" s="1"/>
  <c r="AO214" i="41" s="1"/>
  <c r="P215" i="41"/>
  <c r="X215" i="41" s="1"/>
  <c r="Q215" i="41"/>
  <c r="AC215" i="41"/>
  <c r="AE215" i="41"/>
  <c r="AM215" i="41"/>
  <c r="AN215" i="41" s="1"/>
  <c r="AO215" i="41" s="1"/>
  <c r="P216" i="41"/>
  <c r="X216" i="41" s="1"/>
  <c r="Q216" i="41"/>
  <c r="AC216" i="41"/>
  <c r="AE216" i="41"/>
  <c r="AM216" i="41"/>
  <c r="AN216" i="41" s="1"/>
  <c r="AO216" i="41" s="1"/>
  <c r="P217" i="41"/>
  <c r="X217" i="41" s="1"/>
  <c r="Q217" i="41"/>
  <c r="AC217" i="41"/>
  <c r="AE217" i="41"/>
  <c r="AM217" i="41"/>
  <c r="AN217" i="41" s="1"/>
  <c r="AO217" i="41" s="1"/>
  <c r="P218" i="41"/>
  <c r="X218" i="41" s="1"/>
  <c r="Q218" i="41"/>
  <c r="AC218" i="41"/>
  <c r="AE218" i="41"/>
  <c r="AM218" i="41"/>
  <c r="AN218" i="41" s="1"/>
  <c r="AO218" i="41" s="1"/>
  <c r="P219" i="41"/>
  <c r="X219" i="41" s="1"/>
  <c r="Q219" i="41"/>
  <c r="AC219" i="41"/>
  <c r="AE219" i="41"/>
  <c r="AM219" i="41"/>
  <c r="AN219" i="41" s="1"/>
  <c r="AO219" i="41" s="1"/>
  <c r="P220" i="41"/>
  <c r="X220" i="41" s="1"/>
  <c r="Q220" i="41"/>
  <c r="AC220" i="41"/>
  <c r="AE220" i="41"/>
  <c r="AM220" i="41"/>
  <c r="AN220" i="41" s="1"/>
  <c r="AO220" i="41" s="1"/>
  <c r="P221" i="41"/>
  <c r="X221" i="41" s="1"/>
  <c r="Q221" i="41"/>
  <c r="AC221" i="41"/>
  <c r="AE221" i="41"/>
  <c r="AM221" i="41"/>
  <c r="AN221" i="41" s="1"/>
  <c r="AO221" i="41" s="1"/>
  <c r="P222" i="41"/>
  <c r="X222" i="41" s="1"/>
  <c r="Q222" i="41"/>
  <c r="AC222" i="41"/>
  <c r="AE222" i="41"/>
  <c r="AM222" i="41"/>
  <c r="AN222" i="41" s="1"/>
  <c r="AO222" i="41" s="1"/>
  <c r="P223" i="41"/>
  <c r="X223" i="41" s="1"/>
  <c r="Q223" i="41"/>
  <c r="AC223" i="41"/>
  <c r="AE223" i="41"/>
  <c r="AM223" i="41"/>
  <c r="AN223" i="41" s="1"/>
  <c r="AO223" i="41" s="1"/>
  <c r="P224" i="41"/>
  <c r="X224" i="41" s="1"/>
  <c r="Q224" i="41"/>
  <c r="AC224" i="41"/>
  <c r="AE224" i="41"/>
  <c r="AM224" i="41"/>
  <c r="AN224" i="41" s="1"/>
  <c r="AO224" i="41" s="1"/>
  <c r="P225" i="41"/>
  <c r="X225" i="41" s="1"/>
  <c r="Q225" i="41"/>
  <c r="AC225" i="41"/>
  <c r="AE225" i="41"/>
  <c r="AM225" i="41"/>
  <c r="AN225" i="41" s="1"/>
  <c r="AO225" i="41" s="1"/>
  <c r="P226" i="41"/>
  <c r="X226" i="41" s="1"/>
  <c r="Q226" i="41"/>
  <c r="AC226" i="41"/>
  <c r="AE226" i="41"/>
  <c r="AM226" i="41"/>
  <c r="AN226" i="41" s="1"/>
  <c r="AO226" i="41" s="1"/>
  <c r="P227" i="41"/>
  <c r="X227" i="41" s="1"/>
  <c r="Q227" i="41"/>
  <c r="AC227" i="41"/>
  <c r="AE227" i="41"/>
  <c r="AM227" i="41"/>
  <c r="AN227" i="41" s="1"/>
  <c r="AO227" i="41" s="1"/>
  <c r="P228" i="41"/>
  <c r="X228" i="41" s="1"/>
  <c r="Q228" i="41"/>
  <c r="AC228" i="41"/>
  <c r="AE228" i="41"/>
  <c r="AM228" i="41"/>
  <c r="AN228" i="41" s="1"/>
  <c r="AO228" i="41" s="1"/>
  <c r="P229" i="41"/>
  <c r="X229" i="41" s="1"/>
  <c r="Q229" i="41"/>
  <c r="AC229" i="41"/>
  <c r="AE229" i="41"/>
  <c r="AM229" i="41"/>
  <c r="AN229" i="41" s="1"/>
  <c r="AO229" i="41" s="1"/>
  <c r="P230" i="41"/>
  <c r="X230" i="41" s="1"/>
  <c r="Q230" i="41"/>
  <c r="AC230" i="41"/>
  <c r="AE230" i="41"/>
  <c r="AM230" i="41"/>
  <c r="AN230" i="41" s="1"/>
  <c r="AO230" i="41" s="1"/>
  <c r="P231" i="41"/>
  <c r="X231" i="41" s="1"/>
  <c r="Q231" i="41"/>
  <c r="AC231" i="41"/>
  <c r="AE231" i="41"/>
  <c r="AM231" i="41"/>
  <c r="AN231" i="41" s="1"/>
  <c r="AO231" i="41" s="1"/>
  <c r="P232" i="41"/>
  <c r="X232" i="41" s="1"/>
  <c r="Q232" i="41"/>
  <c r="AC232" i="41"/>
  <c r="AE232" i="41"/>
  <c r="AM232" i="41"/>
  <c r="AN232" i="41" s="1"/>
  <c r="AO232" i="41" s="1"/>
  <c r="P233" i="41"/>
  <c r="X233" i="41" s="1"/>
  <c r="Q233" i="41"/>
  <c r="AC233" i="41"/>
  <c r="AE233" i="41"/>
  <c r="AM233" i="41"/>
  <c r="AN233" i="41" s="1"/>
  <c r="AO233" i="41" s="1"/>
  <c r="P234" i="41"/>
  <c r="X234" i="41" s="1"/>
  <c r="Q234" i="41"/>
  <c r="AC234" i="41"/>
  <c r="AE234" i="41"/>
  <c r="AM234" i="41"/>
  <c r="AN234" i="41" s="1"/>
  <c r="AO234" i="41" s="1"/>
  <c r="P235" i="41"/>
  <c r="X235" i="41" s="1"/>
  <c r="Q235" i="41"/>
  <c r="AC235" i="41"/>
  <c r="AE235" i="41"/>
  <c r="AM235" i="41"/>
  <c r="AN235" i="41" s="1"/>
  <c r="AO235" i="41" s="1"/>
  <c r="P236" i="41"/>
  <c r="X236" i="41" s="1"/>
  <c r="Q236" i="41"/>
  <c r="AC236" i="41"/>
  <c r="AE236" i="41"/>
  <c r="AM236" i="41"/>
  <c r="AN236" i="41" s="1"/>
  <c r="AO236" i="41" s="1"/>
  <c r="P237" i="41"/>
  <c r="X237" i="41" s="1"/>
  <c r="Q237" i="41"/>
  <c r="AC237" i="41"/>
  <c r="AE237" i="41"/>
  <c r="AM237" i="41"/>
  <c r="AN237" i="41" s="1"/>
  <c r="AO237" i="41" s="1"/>
  <c r="P238" i="41"/>
  <c r="X238" i="41" s="1"/>
  <c r="Q238" i="41"/>
  <c r="AC238" i="41"/>
  <c r="AE238" i="41"/>
  <c r="AM238" i="41"/>
  <c r="AN238" i="41" s="1"/>
  <c r="AO238" i="41" s="1"/>
  <c r="P239" i="41"/>
  <c r="X239" i="41" s="1"/>
  <c r="Q239" i="41"/>
  <c r="AC239" i="41"/>
  <c r="AE239" i="41"/>
  <c r="AM239" i="41"/>
  <c r="AN239" i="41" s="1"/>
  <c r="AO239" i="41" s="1"/>
  <c r="P240" i="41"/>
  <c r="X240" i="41" s="1"/>
  <c r="Q240" i="41"/>
  <c r="AC240" i="41"/>
  <c r="AE240" i="41"/>
  <c r="AM240" i="41"/>
  <c r="AN240" i="41" s="1"/>
  <c r="AO240" i="41" s="1"/>
  <c r="P241" i="41"/>
  <c r="X241" i="41" s="1"/>
  <c r="Q241" i="41"/>
  <c r="AC241" i="41"/>
  <c r="AE241" i="41"/>
  <c r="AM241" i="41"/>
  <c r="AN241" i="41" s="1"/>
  <c r="AO241" i="41" s="1"/>
  <c r="P242" i="41"/>
  <c r="X242" i="41" s="1"/>
  <c r="Q242" i="41"/>
  <c r="AC242" i="41"/>
  <c r="AE242" i="41"/>
  <c r="AM242" i="41"/>
  <c r="AN242" i="41" s="1"/>
  <c r="AO242" i="41" s="1"/>
  <c r="P243" i="41"/>
  <c r="X243" i="41" s="1"/>
  <c r="Q243" i="41"/>
  <c r="AC243" i="41"/>
  <c r="AE243" i="41"/>
  <c r="AM243" i="41"/>
  <c r="AN243" i="41" s="1"/>
  <c r="AO243" i="41" s="1"/>
  <c r="P244" i="41"/>
  <c r="X244" i="41" s="1"/>
  <c r="Q244" i="41"/>
  <c r="AC244" i="41"/>
  <c r="AE244" i="41"/>
  <c r="AM244" i="41"/>
  <c r="AN244" i="41" s="1"/>
  <c r="AO244" i="41" s="1"/>
  <c r="P245" i="41"/>
  <c r="X245" i="41" s="1"/>
  <c r="Q245" i="41"/>
  <c r="V245" i="41" s="1"/>
  <c r="AC245" i="41"/>
  <c r="AE245" i="41"/>
  <c r="AM245" i="41"/>
  <c r="AN245" i="41" s="1"/>
  <c r="AO245" i="41" s="1"/>
  <c r="P246" i="41"/>
  <c r="X246" i="41" s="1"/>
  <c r="Q246" i="41"/>
  <c r="V246" i="41" s="1"/>
  <c r="AC246" i="41"/>
  <c r="AE246" i="41"/>
  <c r="AM246" i="41"/>
  <c r="AN246" i="41" s="1"/>
  <c r="AO246" i="41" s="1"/>
  <c r="P247" i="41"/>
  <c r="X247" i="41" s="1"/>
  <c r="Q247" i="41"/>
  <c r="AC247" i="41"/>
  <c r="AE247" i="41"/>
  <c r="AM247" i="41"/>
  <c r="AN247" i="41" s="1"/>
  <c r="AO247" i="41" s="1"/>
  <c r="P248" i="41"/>
  <c r="X248" i="41" s="1"/>
  <c r="Q248" i="41"/>
  <c r="AC248" i="41"/>
  <c r="AE248" i="41"/>
  <c r="AM248" i="41"/>
  <c r="AN248" i="41" s="1"/>
  <c r="AO248" i="41" s="1"/>
  <c r="P249" i="41"/>
  <c r="X249" i="41" s="1"/>
  <c r="Q249" i="41"/>
  <c r="V249" i="41" s="1"/>
  <c r="AC249" i="41"/>
  <c r="AE249" i="41"/>
  <c r="AM249" i="41"/>
  <c r="AN249" i="41" s="1"/>
  <c r="AO249" i="41" s="1"/>
  <c r="P250" i="41"/>
  <c r="X250" i="41" s="1"/>
  <c r="Q250" i="41"/>
  <c r="AC250" i="41"/>
  <c r="AE250" i="41"/>
  <c r="AM250" i="41"/>
  <c r="P251" i="41"/>
  <c r="X251" i="41" s="1"/>
  <c r="Q251" i="41"/>
  <c r="V251" i="41" s="1"/>
  <c r="AC251" i="41"/>
  <c r="AE251" i="41"/>
  <c r="AM251" i="41"/>
  <c r="AO251" i="41" s="1"/>
  <c r="P252" i="41"/>
  <c r="X252" i="41" s="1"/>
  <c r="Q252" i="41"/>
  <c r="V252" i="41" s="1"/>
  <c r="AC252" i="41"/>
  <c r="AE252" i="41"/>
  <c r="AM252" i="41"/>
  <c r="AO252" i="41" s="1"/>
  <c r="P253" i="41"/>
  <c r="X253" i="41" s="1"/>
  <c r="Q253" i="41"/>
  <c r="V253" i="41" s="1"/>
  <c r="AC253" i="41"/>
  <c r="AE253" i="41"/>
  <c r="AM253" i="41"/>
  <c r="AO253" i="41" s="1"/>
  <c r="P254" i="41"/>
  <c r="X254" i="41" s="1"/>
  <c r="Q254" i="41"/>
  <c r="V254" i="41" s="1"/>
  <c r="AC254" i="41"/>
  <c r="AE254" i="41"/>
  <c r="AM254" i="41"/>
  <c r="AO254" i="41" s="1"/>
  <c r="P255" i="41"/>
  <c r="X255" i="41" s="1"/>
  <c r="Q255" i="41"/>
  <c r="V255" i="41" s="1"/>
  <c r="AC255" i="41"/>
  <c r="AE255" i="41"/>
  <c r="AM255" i="41"/>
  <c r="AN255" i="41" s="1"/>
  <c r="AO255" i="41" s="1"/>
  <c r="P256" i="41"/>
  <c r="X256" i="41" s="1"/>
  <c r="Q256" i="41"/>
  <c r="AC256" i="41"/>
  <c r="AE256" i="41"/>
  <c r="AM256" i="41"/>
  <c r="AN256" i="41" s="1"/>
  <c r="AO256" i="41" s="1"/>
  <c r="P257" i="41"/>
  <c r="X257" i="41" s="1"/>
  <c r="Q257" i="41"/>
  <c r="AC257" i="41"/>
  <c r="AE257" i="41"/>
  <c r="AM257" i="41"/>
  <c r="AN257" i="41" s="1"/>
  <c r="AO257" i="41" s="1"/>
  <c r="P258" i="41"/>
  <c r="X258" i="41" s="1"/>
  <c r="Q258" i="41"/>
  <c r="AC258" i="41"/>
  <c r="AE258" i="41"/>
  <c r="AM258" i="41"/>
  <c r="AN258" i="41" s="1"/>
  <c r="AO258" i="41" s="1"/>
  <c r="P259" i="41"/>
  <c r="X259" i="41" s="1"/>
  <c r="Q259" i="41"/>
  <c r="AC259" i="41"/>
  <c r="AE259" i="41"/>
  <c r="AM259" i="41"/>
  <c r="AN259" i="41" s="1"/>
  <c r="AO259" i="41" s="1"/>
  <c r="P260" i="41"/>
  <c r="X260" i="41" s="1"/>
  <c r="Q260" i="41"/>
  <c r="AC260" i="41"/>
  <c r="AE260" i="41"/>
  <c r="AM260" i="41"/>
  <c r="AN260" i="41" s="1"/>
  <c r="AO260" i="41" s="1"/>
  <c r="P261" i="41"/>
  <c r="X261" i="41" s="1"/>
  <c r="Q261" i="41"/>
  <c r="AC261" i="41"/>
  <c r="AE261" i="41"/>
  <c r="AM261" i="41"/>
  <c r="AN261" i="41" s="1"/>
  <c r="AO261" i="41" s="1"/>
  <c r="P262" i="41"/>
  <c r="X262" i="41" s="1"/>
  <c r="Q262" i="41"/>
  <c r="AC262" i="41"/>
  <c r="AE262" i="41"/>
  <c r="AM262" i="41"/>
  <c r="P263" i="41"/>
  <c r="X263" i="41" s="1"/>
  <c r="Q263" i="41"/>
  <c r="V263" i="41" s="1"/>
  <c r="AC263" i="41"/>
  <c r="AE263" i="41"/>
  <c r="AM263" i="41"/>
  <c r="P264" i="41"/>
  <c r="X264" i="41" s="1"/>
  <c r="Q264" i="41"/>
  <c r="V264" i="41" s="1"/>
  <c r="AC264" i="41"/>
  <c r="AE264" i="41"/>
  <c r="AM264" i="41"/>
  <c r="AN264" i="41" s="1"/>
  <c r="AO264" i="41" s="1"/>
  <c r="P265" i="41"/>
  <c r="X265" i="41" s="1"/>
  <c r="Q265" i="41"/>
  <c r="AC265" i="41"/>
  <c r="AE265" i="41"/>
  <c r="AM265" i="41"/>
  <c r="AN265" i="41" s="1"/>
  <c r="AO265" i="41" s="1"/>
  <c r="P266" i="41"/>
  <c r="X266" i="41" s="1"/>
  <c r="Q266" i="41"/>
  <c r="AC266" i="41"/>
  <c r="AE266" i="41"/>
  <c r="AM266" i="41"/>
  <c r="AN266" i="41" s="1"/>
  <c r="AO266" i="41" s="1"/>
  <c r="P267" i="41"/>
  <c r="X267" i="41" s="1"/>
  <c r="Q267" i="41"/>
  <c r="AC267" i="41"/>
  <c r="AE267" i="41"/>
  <c r="AM267" i="41"/>
  <c r="AN267" i="41" s="1"/>
  <c r="AO267" i="41" s="1"/>
  <c r="P268" i="41"/>
  <c r="X268" i="41" s="1"/>
  <c r="Q268" i="41"/>
  <c r="AC268" i="41"/>
  <c r="AE268" i="41"/>
  <c r="AM268" i="41"/>
  <c r="AN268" i="41" s="1"/>
  <c r="AO268" i="41" s="1"/>
  <c r="P269" i="41"/>
  <c r="X269" i="41" s="1"/>
  <c r="Q269" i="41"/>
  <c r="AC269" i="41"/>
  <c r="AE269" i="41"/>
  <c r="AM269" i="41"/>
  <c r="P270" i="41"/>
  <c r="X270" i="41" s="1"/>
  <c r="Q270" i="41"/>
  <c r="AC270" i="41"/>
  <c r="AE270" i="41"/>
  <c r="AM270" i="41"/>
  <c r="AN270" i="41" s="1"/>
  <c r="AO270" i="41" s="1"/>
  <c r="P271" i="41"/>
  <c r="X271" i="41" s="1"/>
  <c r="Q271" i="41"/>
  <c r="AC271" i="41"/>
  <c r="AE271" i="41"/>
  <c r="AM271" i="41"/>
  <c r="AN271" i="41" s="1"/>
  <c r="AO271" i="41" s="1"/>
  <c r="P272" i="41"/>
  <c r="Q272" i="41"/>
  <c r="AC272" i="41"/>
  <c r="AE272" i="41"/>
  <c r="AM272" i="41"/>
  <c r="P273" i="41"/>
  <c r="X273" i="41" s="1"/>
  <c r="Q273" i="41"/>
  <c r="AC273" i="41"/>
  <c r="AE273" i="41"/>
  <c r="AM273" i="41"/>
  <c r="AN273" i="41" s="1"/>
  <c r="AO273" i="41" s="1"/>
  <c r="P274" i="41"/>
  <c r="X274" i="41" s="1"/>
  <c r="Q274" i="41"/>
  <c r="AC274" i="41"/>
  <c r="AE274" i="41"/>
  <c r="AM274" i="41"/>
  <c r="AN274" i="41" s="1"/>
  <c r="AO274" i="41" s="1"/>
  <c r="P275" i="41"/>
  <c r="X275" i="41" s="1"/>
  <c r="Q275" i="41"/>
  <c r="V275" i="41" s="1"/>
  <c r="AC275" i="41"/>
  <c r="AE275" i="41"/>
  <c r="AM275" i="41"/>
  <c r="AN275" i="41" s="1"/>
  <c r="AO275" i="41" s="1"/>
  <c r="P276" i="41"/>
  <c r="X276" i="41" s="1"/>
  <c r="Q276" i="41"/>
  <c r="V276" i="41" s="1"/>
  <c r="AC276" i="41"/>
  <c r="AE276" i="41"/>
  <c r="AM276" i="41"/>
  <c r="AN276" i="41" s="1"/>
  <c r="AO276" i="41" s="1"/>
  <c r="P277" i="41"/>
  <c r="X277" i="41" s="1"/>
  <c r="Q277" i="41"/>
  <c r="AC277" i="41"/>
  <c r="AE277" i="41"/>
  <c r="AM277" i="41"/>
  <c r="AN277" i="41" s="1"/>
  <c r="AO277" i="41" s="1"/>
  <c r="P278" i="41"/>
  <c r="X278" i="41" s="1"/>
  <c r="Q278" i="41"/>
  <c r="V278" i="41" s="1"/>
  <c r="AC278" i="41"/>
  <c r="AE278" i="41"/>
  <c r="AM278" i="41"/>
  <c r="P279" i="41"/>
  <c r="X279" i="41" s="1"/>
  <c r="Q279" i="41"/>
  <c r="AC279" i="41"/>
  <c r="AE279" i="41"/>
  <c r="AM279" i="41"/>
  <c r="P280" i="41"/>
  <c r="X280" i="41" s="1"/>
  <c r="Q280" i="41"/>
  <c r="AC280" i="41"/>
  <c r="AE280" i="41"/>
  <c r="AM280" i="41"/>
  <c r="P281" i="41"/>
  <c r="X281" i="41" s="1"/>
  <c r="Q281" i="41"/>
  <c r="AC281" i="41"/>
  <c r="AE281" i="41"/>
  <c r="AM281" i="41"/>
  <c r="P282" i="41"/>
  <c r="X282" i="41" s="1"/>
  <c r="Q282" i="41"/>
  <c r="AC282" i="41"/>
  <c r="AE282" i="41"/>
  <c r="AM282" i="41"/>
  <c r="P283" i="41"/>
  <c r="X283" i="41" s="1"/>
  <c r="Q283" i="41"/>
  <c r="AC283" i="41"/>
  <c r="AE283" i="41"/>
  <c r="AM283" i="41"/>
  <c r="AN283" i="41" s="1"/>
  <c r="AO283" i="41" s="1"/>
  <c r="P284" i="41"/>
  <c r="X284" i="41" s="1"/>
  <c r="Q284" i="41"/>
  <c r="AC284" i="41"/>
  <c r="AE284" i="41"/>
  <c r="AM284" i="41"/>
  <c r="AN284" i="41" s="1"/>
  <c r="AO284" i="41" s="1"/>
  <c r="P285" i="41"/>
  <c r="X285" i="41" s="1"/>
  <c r="Q285" i="41"/>
  <c r="AC285" i="41"/>
  <c r="AE285" i="41"/>
  <c r="AM285" i="41"/>
  <c r="AN285" i="41" s="1"/>
  <c r="AO285" i="41" s="1"/>
  <c r="P286" i="41"/>
  <c r="X286" i="41" s="1"/>
  <c r="Q286" i="41"/>
  <c r="AC286" i="41"/>
  <c r="AE286" i="41"/>
  <c r="AM286" i="41"/>
  <c r="AN286" i="41" s="1"/>
  <c r="AO286" i="41" s="1"/>
  <c r="P287" i="41"/>
  <c r="X287" i="41" s="1"/>
  <c r="Q287" i="41"/>
  <c r="AC287" i="41"/>
  <c r="AE287" i="41"/>
  <c r="AM287" i="41"/>
  <c r="P288" i="41"/>
  <c r="X288" i="41" s="1"/>
  <c r="Q288" i="41"/>
  <c r="AC288" i="41"/>
  <c r="AE288" i="41"/>
  <c r="AM288" i="41"/>
  <c r="AN288" i="41" s="1"/>
  <c r="AO288" i="41" s="1"/>
  <c r="P289" i="41"/>
  <c r="X289" i="41" s="1"/>
  <c r="Q289" i="41"/>
  <c r="V289" i="41" s="1"/>
  <c r="AC289" i="41"/>
  <c r="AE289" i="41"/>
  <c r="AM289" i="41"/>
  <c r="AN289" i="41" s="1"/>
  <c r="AO289" i="41" s="1"/>
  <c r="P290" i="41"/>
  <c r="X290" i="41" s="1"/>
  <c r="Q290" i="41"/>
  <c r="AC290" i="41"/>
  <c r="AE290" i="41"/>
  <c r="AM290" i="41"/>
  <c r="AN290" i="41" s="1"/>
  <c r="AO290" i="41" s="1"/>
  <c r="P291" i="41"/>
  <c r="X291" i="41" s="1"/>
  <c r="Q291" i="41"/>
  <c r="AC291" i="41"/>
  <c r="AE291" i="41"/>
  <c r="AM291" i="41"/>
  <c r="AN291" i="41" s="1"/>
  <c r="AO291" i="41" s="1"/>
  <c r="P292" i="41"/>
  <c r="X292" i="41" s="1"/>
  <c r="Q292" i="41"/>
  <c r="AC292" i="41"/>
  <c r="AE292" i="41"/>
  <c r="AM292" i="41"/>
  <c r="AN292" i="41" s="1"/>
  <c r="AO292" i="41" s="1"/>
  <c r="P293" i="41"/>
  <c r="X293" i="41" s="1"/>
  <c r="Q293" i="41"/>
  <c r="V293" i="41" s="1"/>
  <c r="AC293" i="41"/>
  <c r="AE293" i="41"/>
  <c r="AM293" i="41"/>
  <c r="AN293" i="41" s="1"/>
  <c r="AO293" i="41" s="1"/>
  <c r="P294" i="41"/>
  <c r="X294" i="41" s="1"/>
  <c r="Q294" i="41"/>
  <c r="V294" i="41" s="1"/>
  <c r="AC294" i="41"/>
  <c r="AE294" i="41"/>
  <c r="AM294" i="41"/>
  <c r="AN294" i="41" s="1"/>
  <c r="AO294" i="41" s="1"/>
  <c r="P295" i="41"/>
  <c r="X295" i="41" s="1"/>
  <c r="Q295" i="41"/>
  <c r="V295" i="41" s="1"/>
  <c r="AC295" i="41"/>
  <c r="AE295" i="41"/>
  <c r="AM295" i="41"/>
  <c r="AN295" i="41" s="1"/>
  <c r="AO295" i="41" s="1"/>
  <c r="P296" i="41"/>
  <c r="X296" i="41" s="1"/>
  <c r="Q296" i="41"/>
  <c r="AC296" i="41"/>
  <c r="AE296" i="41"/>
  <c r="AM296" i="41"/>
  <c r="P297" i="41"/>
  <c r="X297" i="41" s="1"/>
  <c r="Q297" i="41"/>
  <c r="V297" i="41" s="1"/>
  <c r="AC297" i="41"/>
  <c r="AE297" i="41"/>
  <c r="AM297" i="41"/>
  <c r="AN297" i="41" s="1"/>
  <c r="AO297" i="41" s="1"/>
  <c r="P298" i="41"/>
  <c r="X298" i="41" s="1"/>
  <c r="Q298" i="41"/>
  <c r="AC298" i="41"/>
  <c r="AE298" i="41"/>
  <c r="AM298" i="41"/>
  <c r="AN298" i="41" s="1"/>
  <c r="AO298" i="41" s="1"/>
  <c r="P299" i="41"/>
  <c r="X299" i="41" s="1"/>
  <c r="Q299" i="41"/>
  <c r="V299" i="41" s="1"/>
  <c r="AC299" i="41"/>
  <c r="AE299" i="41"/>
  <c r="AM299" i="41"/>
  <c r="AN299" i="41" s="1"/>
  <c r="AO299" i="41" s="1"/>
  <c r="P300" i="41"/>
  <c r="X300" i="41" s="1"/>
  <c r="Q300" i="41"/>
  <c r="AC300" i="41"/>
  <c r="AE300" i="41"/>
  <c r="AM300" i="41"/>
  <c r="AN300" i="41" s="1"/>
  <c r="AO300" i="41" s="1"/>
  <c r="P301" i="41"/>
  <c r="X301" i="41" s="1"/>
  <c r="Q301" i="41"/>
  <c r="AC301" i="41"/>
  <c r="AE301" i="41"/>
  <c r="AM301" i="41"/>
  <c r="AN301" i="41" s="1"/>
  <c r="AO301" i="41" s="1"/>
  <c r="P302" i="41"/>
  <c r="X302" i="41" s="1"/>
  <c r="Q302" i="41"/>
  <c r="AC302" i="41"/>
  <c r="AE302" i="41"/>
  <c r="AM302" i="41"/>
  <c r="AN302" i="41" s="1"/>
  <c r="AO302" i="41" s="1"/>
  <c r="P303" i="41"/>
  <c r="X303" i="41" s="1"/>
  <c r="Q303" i="41"/>
  <c r="AC303" i="41"/>
  <c r="AE303" i="41"/>
  <c r="AM303" i="41"/>
  <c r="AN303" i="41" s="1"/>
  <c r="AO303" i="41" s="1"/>
  <c r="P304" i="41"/>
  <c r="X304" i="41" s="1"/>
  <c r="Q304" i="41"/>
  <c r="V304" i="41" s="1"/>
  <c r="AC304" i="41"/>
  <c r="AE304" i="41"/>
  <c r="AM304" i="41"/>
  <c r="AN304" i="41" s="1"/>
  <c r="AO304" i="41" s="1"/>
  <c r="P305" i="41"/>
  <c r="X305" i="41" s="1"/>
  <c r="Q305" i="41"/>
  <c r="AC305" i="41"/>
  <c r="AE305" i="41"/>
  <c r="AM305" i="41"/>
  <c r="AN305" i="41" s="1"/>
  <c r="AO305" i="41" s="1"/>
  <c r="P306" i="41"/>
  <c r="X306" i="41" s="1"/>
  <c r="Q306" i="41"/>
  <c r="AC306" i="41"/>
  <c r="AE306" i="41"/>
  <c r="AM306" i="41"/>
  <c r="P307" i="41"/>
  <c r="X307" i="41" s="1"/>
  <c r="Q307" i="41"/>
  <c r="AC307" i="41"/>
  <c r="AE307" i="41"/>
  <c r="AM307" i="41"/>
  <c r="AN307" i="41" s="1"/>
  <c r="AO307" i="41" s="1"/>
  <c r="P308" i="41"/>
  <c r="X308" i="41" s="1"/>
  <c r="Q308" i="41"/>
  <c r="AC308" i="41"/>
  <c r="AE308" i="41"/>
  <c r="AM308" i="41"/>
  <c r="AN308" i="41" s="1"/>
  <c r="AO308" i="41" s="1"/>
  <c r="P309" i="41"/>
  <c r="X309" i="41" s="1"/>
  <c r="Q309" i="41"/>
  <c r="AC309" i="41"/>
  <c r="AE309" i="41"/>
  <c r="AM309" i="41"/>
  <c r="AN309" i="41" s="1"/>
  <c r="AO309" i="41" s="1"/>
  <c r="P310" i="41"/>
  <c r="X310" i="41" s="1"/>
  <c r="Q310" i="41"/>
  <c r="AC310" i="41"/>
  <c r="AE310" i="41"/>
  <c r="AM310" i="41"/>
  <c r="AN310" i="41" s="1"/>
  <c r="AO310" i="41" s="1"/>
  <c r="P311" i="41"/>
  <c r="X311" i="41" s="1"/>
  <c r="Q311" i="41"/>
  <c r="AC311" i="41"/>
  <c r="AE311" i="41"/>
  <c r="AM311" i="41"/>
  <c r="AN311" i="41" s="1"/>
  <c r="AO311" i="41" s="1"/>
  <c r="P312" i="41"/>
  <c r="X312" i="41" s="1"/>
  <c r="Q312" i="41"/>
  <c r="AC312" i="41"/>
  <c r="AE312" i="41"/>
  <c r="AM312" i="41"/>
  <c r="AN312" i="41" s="1"/>
  <c r="AO312" i="41" s="1"/>
  <c r="P313" i="41"/>
  <c r="X313" i="41" s="1"/>
  <c r="Q313" i="41"/>
  <c r="AC313" i="41"/>
  <c r="AE313" i="41"/>
  <c r="AM313" i="41"/>
  <c r="AN313" i="41" s="1"/>
  <c r="AO313" i="41" s="1"/>
  <c r="P314" i="41"/>
  <c r="X314" i="41" s="1"/>
  <c r="Q314" i="41"/>
  <c r="AC314" i="41"/>
  <c r="AE314" i="41"/>
  <c r="AM314" i="41"/>
  <c r="AN314" i="41" s="1"/>
  <c r="AO314" i="41" s="1"/>
  <c r="P315" i="41"/>
  <c r="X315" i="41" s="1"/>
  <c r="Q315" i="41"/>
  <c r="AC315" i="41"/>
  <c r="AE315" i="41"/>
  <c r="AM315" i="41"/>
  <c r="AN315" i="41" s="1"/>
  <c r="AO315" i="41" s="1"/>
  <c r="P316" i="41"/>
  <c r="X316" i="41" s="1"/>
  <c r="Q316" i="41"/>
  <c r="AC316" i="41"/>
  <c r="AE316" i="41"/>
  <c r="AM316" i="41"/>
  <c r="AN316" i="41" s="1"/>
  <c r="AO316" i="41" s="1"/>
  <c r="P317" i="41"/>
  <c r="X317" i="41" s="1"/>
  <c r="Q317" i="41"/>
  <c r="AC317" i="41"/>
  <c r="AE317" i="41"/>
  <c r="AM317" i="41"/>
  <c r="AN317" i="41" s="1"/>
  <c r="AO317" i="41" s="1"/>
  <c r="P318" i="41"/>
  <c r="X318" i="41" s="1"/>
  <c r="Q318" i="41"/>
  <c r="AC318" i="41"/>
  <c r="AE318" i="41"/>
  <c r="AM318" i="41"/>
  <c r="AN318" i="41" s="1"/>
  <c r="AO318" i="41" s="1"/>
  <c r="P319" i="41"/>
  <c r="X319" i="41" s="1"/>
  <c r="Q319" i="41"/>
  <c r="AC319" i="41"/>
  <c r="AE319" i="41"/>
  <c r="AM319" i="41"/>
  <c r="AN319" i="41" s="1"/>
  <c r="AO319" i="41" s="1"/>
  <c r="P320" i="41"/>
  <c r="X320" i="41" s="1"/>
  <c r="Q320" i="41"/>
  <c r="AC320" i="41"/>
  <c r="AE320" i="41"/>
  <c r="AM320" i="41"/>
  <c r="AN320" i="41" s="1"/>
  <c r="AO320" i="41" s="1"/>
  <c r="P321" i="41"/>
  <c r="X321" i="41" s="1"/>
  <c r="Q321" i="41"/>
  <c r="AC321" i="41"/>
  <c r="AE321" i="41"/>
  <c r="AM321" i="41"/>
  <c r="AN321" i="41" s="1"/>
  <c r="AO321" i="41" s="1"/>
  <c r="P322" i="41"/>
  <c r="X322" i="41" s="1"/>
  <c r="Q322" i="41"/>
  <c r="AC322" i="41"/>
  <c r="AE322" i="41"/>
  <c r="AM322" i="41"/>
  <c r="AN322" i="41" s="1"/>
  <c r="AO322" i="41" s="1"/>
  <c r="P323" i="41"/>
  <c r="X323" i="41" s="1"/>
  <c r="Q323" i="41"/>
  <c r="AC323" i="41"/>
  <c r="AE323" i="41"/>
  <c r="AM323" i="41"/>
  <c r="AN323" i="41" s="1"/>
  <c r="AO323" i="41" s="1"/>
  <c r="P324" i="41"/>
  <c r="X324" i="41" s="1"/>
  <c r="Q324" i="41"/>
  <c r="AC324" i="41"/>
  <c r="AE324" i="41"/>
  <c r="AM324" i="41"/>
  <c r="AN324" i="41" s="1"/>
  <c r="AO324" i="41" s="1"/>
  <c r="P325" i="41"/>
  <c r="X325" i="41" s="1"/>
  <c r="Q325" i="41"/>
  <c r="V325" i="41" s="1"/>
  <c r="AC325" i="41"/>
  <c r="AE325" i="41"/>
  <c r="AM325" i="41"/>
  <c r="AN325" i="41" s="1"/>
  <c r="AO325" i="41" s="1"/>
  <c r="P326" i="41"/>
  <c r="X326" i="41" s="1"/>
  <c r="Q326" i="41"/>
  <c r="V326" i="41" s="1"/>
  <c r="AC326" i="41"/>
  <c r="AE326" i="41"/>
  <c r="AM326" i="41"/>
  <c r="AN326" i="41" s="1"/>
  <c r="AO326" i="41" s="1"/>
  <c r="P327" i="41"/>
  <c r="X327" i="41" s="1"/>
  <c r="Q327" i="41"/>
  <c r="V327" i="41" s="1"/>
  <c r="AC327" i="41"/>
  <c r="AE327" i="41"/>
  <c r="AM327" i="41"/>
  <c r="AN327" i="41" s="1"/>
  <c r="AO327" i="41" s="1"/>
  <c r="P328" i="41"/>
  <c r="X328" i="41" s="1"/>
  <c r="Q328" i="41"/>
  <c r="AC328" i="41"/>
  <c r="AE328" i="41"/>
  <c r="AM328" i="41"/>
  <c r="AN328" i="41" s="1"/>
  <c r="AO328" i="41" s="1"/>
  <c r="P329" i="41"/>
  <c r="X329" i="41" s="1"/>
  <c r="Q329" i="41"/>
  <c r="V329" i="41" s="1"/>
  <c r="AC329" i="41"/>
  <c r="AE329" i="41"/>
  <c r="AM329" i="41"/>
  <c r="AN329" i="41" s="1"/>
  <c r="AO329" i="41" s="1"/>
  <c r="P330" i="41"/>
  <c r="X330" i="41" s="1"/>
  <c r="Q330" i="41"/>
  <c r="AC330" i="41"/>
  <c r="AE330" i="41"/>
  <c r="AM330" i="41"/>
  <c r="AN330" i="41" s="1"/>
  <c r="AO330" i="41" s="1"/>
  <c r="P331" i="41"/>
  <c r="X331" i="41" s="1"/>
  <c r="Q331" i="41"/>
  <c r="AC331" i="41"/>
  <c r="AE331" i="41"/>
  <c r="AM331" i="41"/>
  <c r="AN331" i="41" s="1"/>
  <c r="AO331" i="41" s="1"/>
  <c r="P332" i="41"/>
  <c r="X332" i="41" s="1"/>
  <c r="Q332" i="41"/>
  <c r="AC332" i="41"/>
  <c r="AE332" i="41"/>
  <c r="AM332" i="41"/>
  <c r="AN332" i="41" s="1"/>
  <c r="AO332" i="41" s="1"/>
  <c r="P333" i="41"/>
  <c r="X333" i="41" s="1"/>
  <c r="Q333" i="41"/>
  <c r="AC333" i="41"/>
  <c r="AE333" i="41"/>
  <c r="AM333" i="41"/>
  <c r="AN333" i="41" s="1"/>
  <c r="AO333" i="41" s="1"/>
  <c r="P334" i="41"/>
  <c r="X334" i="41" s="1"/>
  <c r="Q334" i="41"/>
  <c r="AC334" i="41"/>
  <c r="AE334" i="41"/>
  <c r="AM334" i="41"/>
  <c r="AN334" i="41" s="1"/>
  <c r="AO334" i="41" s="1"/>
  <c r="P335" i="41"/>
  <c r="X335" i="41" s="1"/>
  <c r="Q335" i="41"/>
  <c r="AC335" i="41"/>
  <c r="AE335" i="41"/>
  <c r="AM335" i="41"/>
  <c r="AN335" i="41" s="1"/>
  <c r="AO335" i="41" s="1"/>
  <c r="P336" i="41"/>
  <c r="X336" i="41" s="1"/>
  <c r="Q336" i="41"/>
  <c r="AC336" i="41"/>
  <c r="AE336" i="41"/>
  <c r="AM336" i="41"/>
  <c r="AN336" i="41" s="1"/>
  <c r="AO336" i="41" s="1"/>
  <c r="P337" i="41"/>
  <c r="X337" i="41" s="1"/>
  <c r="Q337" i="41"/>
  <c r="AC337" i="41"/>
  <c r="AE337" i="41"/>
  <c r="AM337" i="41"/>
  <c r="AN337" i="41" s="1"/>
  <c r="AO337" i="41" s="1"/>
  <c r="P338" i="41"/>
  <c r="X338" i="41" s="1"/>
  <c r="Q338" i="41"/>
  <c r="AC338" i="41"/>
  <c r="AE338" i="41"/>
  <c r="AM338" i="41"/>
  <c r="AN338" i="41" s="1"/>
  <c r="AO338" i="41" s="1"/>
  <c r="P339" i="41"/>
  <c r="X339" i="41" s="1"/>
  <c r="Q339" i="41"/>
  <c r="AC339" i="41"/>
  <c r="AE339" i="41"/>
  <c r="AM339" i="41"/>
  <c r="AN339" i="41" s="1"/>
  <c r="AO339" i="41" s="1"/>
  <c r="P340" i="41"/>
  <c r="X340" i="41" s="1"/>
  <c r="Q340" i="41"/>
  <c r="AC340" i="41"/>
  <c r="AE340" i="41"/>
  <c r="AM340" i="41"/>
  <c r="AN340" i="41" s="1"/>
  <c r="AO340" i="41" s="1"/>
  <c r="P341" i="41"/>
  <c r="X341" i="41" s="1"/>
  <c r="Q341" i="41"/>
  <c r="AC341" i="41"/>
  <c r="AE341" i="41"/>
  <c r="AM341" i="41"/>
  <c r="AN341" i="41" s="1"/>
  <c r="AO341" i="41" s="1"/>
  <c r="P342" i="41"/>
  <c r="X342" i="41" s="1"/>
  <c r="Q342" i="41"/>
  <c r="AC342" i="41"/>
  <c r="AE342" i="41"/>
  <c r="AM342" i="41"/>
  <c r="AN342" i="41" s="1"/>
  <c r="AO342" i="41" s="1"/>
  <c r="P343" i="41"/>
  <c r="X343" i="41" s="1"/>
  <c r="Q343" i="41"/>
  <c r="AC343" i="41"/>
  <c r="AE343" i="41"/>
  <c r="AM343" i="41"/>
  <c r="P344" i="41"/>
  <c r="X344" i="41" s="1"/>
  <c r="Q344" i="41"/>
  <c r="AC344" i="41"/>
  <c r="AE344" i="41"/>
  <c r="AM344" i="41"/>
  <c r="AN344" i="41" s="1"/>
  <c r="AO344" i="41" s="1"/>
  <c r="P345" i="41"/>
  <c r="X345" i="41" s="1"/>
  <c r="Q345" i="41"/>
  <c r="AC345" i="41"/>
  <c r="AE345" i="41"/>
  <c r="AM345" i="41"/>
  <c r="P346" i="41"/>
  <c r="X346" i="41" s="1"/>
  <c r="Q346" i="41"/>
  <c r="V346" i="41" s="1"/>
  <c r="AC346" i="41"/>
  <c r="AE346" i="41"/>
  <c r="AM346" i="41"/>
  <c r="AN346" i="41" s="1"/>
  <c r="AO346" i="41" s="1"/>
  <c r="P347" i="41"/>
  <c r="X347" i="41" s="1"/>
  <c r="Q347" i="41"/>
  <c r="V347" i="41" s="1"/>
  <c r="AC347" i="41"/>
  <c r="AE347" i="41"/>
  <c r="AM347" i="41"/>
  <c r="P348" i="41"/>
  <c r="X348" i="41" s="1"/>
  <c r="Q348" i="41"/>
  <c r="AC348" i="41"/>
  <c r="AE348" i="41"/>
  <c r="AM348" i="41"/>
  <c r="AN348" i="41" s="1"/>
  <c r="AO348" i="41" s="1"/>
  <c r="P349" i="41"/>
  <c r="X349" i="41" s="1"/>
  <c r="Q349" i="41"/>
  <c r="V349" i="41" s="1"/>
  <c r="AC349" i="41"/>
  <c r="AE349" i="41"/>
  <c r="AM349" i="41"/>
  <c r="AN349" i="41" s="1"/>
  <c r="AO349" i="41" s="1"/>
  <c r="P350" i="41"/>
  <c r="X350" i="41" s="1"/>
  <c r="Q350" i="41"/>
  <c r="V350" i="41" s="1"/>
  <c r="AC350" i="41"/>
  <c r="AE350" i="41"/>
  <c r="AM350" i="41"/>
  <c r="AN350" i="41" s="1"/>
  <c r="AO350" i="41" s="1"/>
  <c r="P351" i="41"/>
  <c r="X351" i="41" s="1"/>
  <c r="Q351" i="41"/>
  <c r="V351" i="41" s="1"/>
  <c r="AC351" i="41"/>
  <c r="AE351" i="41"/>
  <c r="AM351" i="41"/>
  <c r="AN351" i="41" s="1"/>
  <c r="AO351" i="41" s="1"/>
  <c r="P352" i="41"/>
  <c r="X352" i="41" s="1"/>
  <c r="Q352" i="41"/>
  <c r="V352" i="41" s="1"/>
  <c r="AC352" i="41"/>
  <c r="AE352" i="41"/>
  <c r="AM352" i="41"/>
  <c r="AN352" i="41" s="1"/>
  <c r="AO352" i="41" s="1"/>
  <c r="P353" i="41"/>
  <c r="X353" i="41" s="1"/>
  <c r="Q353" i="41"/>
  <c r="AC353" i="41"/>
  <c r="AE353" i="41"/>
  <c r="AM353" i="41"/>
  <c r="AN353" i="41" s="1"/>
  <c r="AO353" i="41" s="1"/>
  <c r="P354" i="41"/>
  <c r="X354" i="41" s="1"/>
  <c r="Q354" i="41"/>
  <c r="V354" i="41" s="1"/>
  <c r="AC354" i="41"/>
  <c r="AE354" i="41"/>
  <c r="AM354" i="41"/>
  <c r="AN354" i="41" s="1"/>
  <c r="AO354" i="41" s="1"/>
  <c r="P355" i="41"/>
  <c r="X355" i="41" s="1"/>
  <c r="Q355" i="41"/>
  <c r="V355" i="41" s="1"/>
  <c r="AC355" i="41"/>
  <c r="AE355" i="41"/>
  <c r="AM355" i="41"/>
  <c r="AN355" i="41" s="1"/>
  <c r="AO355" i="41" s="1"/>
  <c r="P356" i="41"/>
  <c r="X356" i="41" s="1"/>
  <c r="Q356" i="41"/>
  <c r="AC356" i="41"/>
  <c r="AE356" i="41"/>
  <c r="AM356" i="41"/>
  <c r="AN356" i="41" s="1"/>
  <c r="AO356" i="41" s="1"/>
  <c r="P357" i="41"/>
  <c r="X357" i="41" s="1"/>
  <c r="Q357" i="41"/>
  <c r="AC357" i="41"/>
  <c r="AE357" i="41"/>
  <c r="AM357" i="41"/>
  <c r="AN357" i="41" s="1"/>
  <c r="AO357" i="41" s="1"/>
  <c r="P358" i="41"/>
  <c r="X358" i="41" s="1"/>
  <c r="Q358" i="41"/>
  <c r="AC358" i="41"/>
  <c r="AE358" i="41"/>
  <c r="AM358" i="41"/>
  <c r="P359" i="41"/>
  <c r="X359" i="41" s="1"/>
  <c r="Q359" i="41"/>
  <c r="AC359" i="41"/>
  <c r="AE359" i="41"/>
  <c r="AM359" i="41"/>
  <c r="P360" i="41"/>
  <c r="X360" i="41" s="1"/>
  <c r="Q360" i="41"/>
  <c r="AC360" i="41"/>
  <c r="AE360" i="41"/>
  <c r="AM360" i="41"/>
  <c r="P361" i="41"/>
  <c r="X361" i="41" s="1"/>
  <c r="Q361" i="41"/>
  <c r="AC361" i="41"/>
  <c r="AE361" i="41"/>
  <c r="AM361" i="41"/>
  <c r="AN361" i="41" s="1"/>
  <c r="AO361" i="41" s="1"/>
  <c r="P362" i="41"/>
  <c r="X362" i="41" s="1"/>
  <c r="Q362" i="41"/>
  <c r="AC362" i="41"/>
  <c r="AE362" i="41"/>
  <c r="AM362" i="41"/>
  <c r="P363" i="41"/>
  <c r="X363" i="41" s="1"/>
  <c r="Q363" i="41"/>
  <c r="AC363" i="41"/>
  <c r="AE363" i="41"/>
  <c r="AM363" i="41"/>
  <c r="AN363" i="41" s="1"/>
  <c r="AO363" i="41" s="1"/>
  <c r="P364" i="41"/>
  <c r="X364" i="41" s="1"/>
  <c r="Q364" i="41"/>
  <c r="AC364" i="41"/>
  <c r="AE364" i="41"/>
  <c r="AM364" i="41"/>
  <c r="AN364" i="41" s="1"/>
  <c r="AO364" i="41" s="1"/>
  <c r="P365" i="41"/>
  <c r="X365" i="41" s="1"/>
  <c r="Q365" i="41"/>
  <c r="AC365" i="41"/>
  <c r="AE365" i="41"/>
  <c r="AM365" i="41"/>
  <c r="AN365" i="41" s="1"/>
  <c r="AO365" i="41" s="1"/>
  <c r="P366" i="41"/>
  <c r="X366" i="41" s="1"/>
  <c r="Q366" i="41"/>
  <c r="AC366" i="41"/>
  <c r="AE366" i="41"/>
  <c r="AM366" i="41"/>
  <c r="P367" i="41"/>
  <c r="X367" i="41" s="1"/>
  <c r="Q367" i="41"/>
  <c r="AC367" i="41"/>
  <c r="AE367" i="41"/>
  <c r="AM367" i="41"/>
  <c r="AN367" i="41" s="1"/>
  <c r="AO367" i="41" s="1"/>
  <c r="P368" i="41"/>
  <c r="X368" i="41" s="1"/>
  <c r="Q368" i="41"/>
  <c r="AC368" i="41"/>
  <c r="AE368" i="41"/>
  <c r="AM368" i="41"/>
  <c r="AN368" i="41" s="1"/>
  <c r="AO368" i="41" s="1"/>
  <c r="P369" i="41"/>
  <c r="X369" i="41" s="1"/>
  <c r="Q369" i="41"/>
  <c r="AC369" i="41"/>
  <c r="AE369" i="41"/>
  <c r="AM369" i="41"/>
  <c r="P370" i="41"/>
  <c r="X370" i="41" s="1"/>
  <c r="Q370" i="41"/>
  <c r="AC370" i="41"/>
  <c r="AE370" i="41"/>
  <c r="AM370" i="41"/>
  <c r="P371" i="41"/>
  <c r="X371" i="41" s="1"/>
  <c r="Q371" i="41"/>
  <c r="AC371" i="41"/>
  <c r="AE371" i="41"/>
  <c r="AM371" i="41"/>
  <c r="AN371" i="41" s="1"/>
  <c r="AO371" i="41" s="1"/>
  <c r="P372" i="41"/>
  <c r="X372" i="41" s="1"/>
  <c r="Q372" i="41"/>
  <c r="AC372" i="41"/>
  <c r="AE372" i="41"/>
  <c r="AM372" i="41"/>
  <c r="AN372" i="41" s="1"/>
  <c r="AO372" i="41" s="1"/>
  <c r="P373" i="41"/>
  <c r="X373" i="41" s="1"/>
  <c r="Q373" i="41"/>
  <c r="AC373" i="41"/>
  <c r="AE373" i="41"/>
  <c r="AM373" i="41"/>
  <c r="AN373" i="41" s="1"/>
  <c r="AO373" i="41" s="1"/>
  <c r="P374" i="41"/>
  <c r="X374" i="41" s="1"/>
  <c r="Q374" i="41"/>
  <c r="AC374" i="41"/>
  <c r="AE374" i="41"/>
  <c r="AM374" i="41"/>
  <c r="AN374" i="41" s="1"/>
  <c r="AO374" i="41" s="1"/>
  <c r="P375" i="41"/>
  <c r="X375" i="41" s="1"/>
  <c r="Q375" i="41"/>
  <c r="AC375" i="41"/>
  <c r="AE375" i="41"/>
  <c r="AM375" i="41"/>
  <c r="AN375" i="41" s="1"/>
  <c r="AO375" i="41" s="1"/>
  <c r="P376" i="41"/>
  <c r="X376" i="41" s="1"/>
  <c r="Q376" i="41"/>
  <c r="V376" i="41" s="1"/>
  <c r="AC376" i="41"/>
  <c r="AE376" i="41"/>
  <c r="AM376" i="41"/>
  <c r="AN376" i="41" s="1"/>
  <c r="AO376" i="41" s="1"/>
  <c r="P377" i="41"/>
  <c r="X377" i="41" s="1"/>
  <c r="Q377" i="41"/>
  <c r="V377" i="41" s="1"/>
  <c r="AC377" i="41"/>
  <c r="AE377" i="41"/>
  <c r="AM377" i="41"/>
  <c r="AN377" i="41" s="1"/>
  <c r="AO377" i="41" s="1"/>
  <c r="P378" i="41"/>
  <c r="Q378" i="41"/>
  <c r="AC378" i="41"/>
  <c r="AE378" i="41"/>
  <c r="P379" i="41"/>
  <c r="X379" i="41" s="1"/>
  <c r="Q379" i="41"/>
  <c r="AC379" i="41"/>
  <c r="AE379" i="41"/>
  <c r="AM379" i="41"/>
  <c r="P380" i="41"/>
  <c r="X380" i="41" s="1"/>
  <c r="Q380" i="41"/>
  <c r="AC380" i="41"/>
  <c r="AE380" i="41"/>
  <c r="AM380" i="41"/>
  <c r="P381" i="41"/>
  <c r="X381" i="41" s="1"/>
  <c r="Q381" i="41"/>
  <c r="V381" i="41" s="1"/>
  <c r="AC381" i="41"/>
  <c r="AE381" i="41"/>
  <c r="AM381" i="41"/>
  <c r="AN381" i="41" s="1"/>
  <c r="AO381" i="41" s="1"/>
  <c r="P382" i="41"/>
  <c r="X382" i="41" s="1"/>
  <c r="Q382" i="41"/>
  <c r="V382" i="41" s="1"/>
  <c r="AC382" i="41"/>
  <c r="AE382" i="41"/>
  <c r="AM382" i="41"/>
  <c r="AN382" i="41" s="1"/>
  <c r="AO382" i="41" s="1"/>
  <c r="P383" i="41"/>
  <c r="X383" i="41" s="1"/>
  <c r="Q383" i="41"/>
  <c r="V383" i="41" s="1"/>
  <c r="AC383" i="41"/>
  <c r="AE383" i="41"/>
  <c r="AM383" i="41"/>
  <c r="AN383" i="41" s="1"/>
  <c r="AO383" i="41" s="1"/>
  <c r="P384" i="41"/>
  <c r="X384" i="41" s="1"/>
  <c r="Q384" i="41"/>
  <c r="V384" i="41" s="1"/>
  <c r="AC384" i="41"/>
  <c r="AE384" i="41"/>
  <c r="AM384" i="41"/>
  <c r="AN384" i="41" s="1"/>
  <c r="AO384" i="41" s="1"/>
  <c r="P385" i="41"/>
  <c r="Q385" i="41"/>
  <c r="AC385" i="41"/>
  <c r="AE385" i="41"/>
  <c r="AM385" i="41"/>
  <c r="P386" i="41"/>
  <c r="X386" i="41" s="1"/>
  <c r="Q386" i="41"/>
  <c r="V386" i="41" s="1"/>
  <c r="AC386" i="41"/>
  <c r="AE386" i="41"/>
  <c r="AM386" i="41"/>
  <c r="AO386" i="41" s="1"/>
  <c r="P387" i="41"/>
  <c r="X387" i="41" s="1"/>
  <c r="Q387" i="41"/>
  <c r="AC387" i="41"/>
  <c r="AE387" i="41"/>
  <c r="AM387" i="41"/>
  <c r="P388" i="41"/>
  <c r="Q388" i="41"/>
  <c r="AC388" i="41"/>
  <c r="AE388" i="41"/>
  <c r="AM388" i="41"/>
  <c r="P389" i="41"/>
  <c r="X389" i="41" s="1"/>
  <c r="Q389" i="41"/>
  <c r="V389" i="41" s="1"/>
  <c r="AC389" i="41"/>
  <c r="AE389" i="41"/>
  <c r="AM389" i="41"/>
  <c r="AN389" i="41" s="1"/>
  <c r="AO389" i="41" s="1"/>
  <c r="AP389" i="41" s="1"/>
  <c r="S389" i="41" s="1"/>
  <c r="P390" i="41"/>
  <c r="X390" i="41" s="1"/>
  <c r="Q390" i="41"/>
  <c r="V390" i="41" s="1"/>
  <c r="AC390" i="41"/>
  <c r="AE390" i="41"/>
  <c r="AM390" i="41"/>
  <c r="AN390" i="41" s="1"/>
  <c r="AO390" i="41" s="1"/>
  <c r="AP390" i="41" s="1"/>
  <c r="S390" i="41" s="1"/>
  <c r="P391" i="41"/>
  <c r="X391" i="41" s="1"/>
  <c r="Q391" i="41"/>
  <c r="V391" i="41" s="1"/>
  <c r="AC391" i="41"/>
  <c r="AE391" i="41"/>
  <c r="AM391" i="41"/>
  <c r="AN391" i="41" s="1"/>
  <c r="AO391" i="41" s="1"/>
  <c r="AP391" i="41" s="1"/>
  <c r="S391" i="41" s="1"/>
  <c r="P392" i="41"/>
  <c r="X392" i="41" s="1"/>
  <c r="Q392" i="41"/>
  <c r="V392" i="41" s="1"/>
  <c r="AC392" i="41"/>
  <c r="AE392" i="41"/>
  <c r="AM392" i="41"/>
  <c r="AN392" i="41" s="1"/>
  <c r="AO392" i="41" s="1"/>
  <c r="AP392" i="41" s="1"/>
  <c r="S392" i="41" s="1"/>
  <c r="P393" i="41"/>
  <c r="X393" i="41" s="1"/>
  <c r="Q393" i="41"/>
  <c r="V393" i="41" s="1"/>
  <c r="AC393" i="41"/>
  <c r="AE393" i="41"/>
  <c r="AM393" i="41"/>
  <c r="AN393" i="41" s="1"/>
  <c r="AO393" i="41" s="1"/>
  <c r="AP393" i="41" s="1"/>
  <c r="S393" i="41" s="1"/>
  <c r="P394" i="41"/>
  <c r="X394" i="41" s="1"/>
  <c r="Q394" i="41"/>
  <c r="V394" i="41" s="1"/>
  <c r="AC394" i="41"/>
  <c r="AE394" i="41"/>
  <c r="AM394" i="41"/>
  <c r="AN394" i="41" s="1"/>
  <c r="AO394" i="41" s="1"/>
  <c r="AP394" i="41" s="1"/>
  <c r="S394" i="41" s="1"/>
  <c r="P395" i="41"/>
  <c r="X395" i="41" s="1"/>
  <c r="Q395" i="41"/>
  <c r="V395" i="41" s="1"/>
  <c r="AC395" i="41"/>
  <c r="AE395" i="41"/>
  <c r="AM395" i="41"/>
  <c r="AN395" i="41" s="1"/>
  <c r="AO395" i="41" s="1"/>
  <c r="AP395" i="41" s="1"/>
  <c r="S395" i="41" s="1"/>
  <c r="P396" i="41"/>
  <c r="X396" i="41" s="1"/>
  <c r="Q396" i="41"/>
  <c r="V396" i="41" s="1"/>
  <c r="AC396" i="41"/>
  <c r="AE396" i="41"/>
  <c r="AM396" i="41"/>
  <c r="AN396" i="41" s="1"/>
  <c r="AO396" i="41" s="1"/>
  <c r="AP396" i="41" s="1"/>
  <c r="S396" i="41" s="1"/>
  <c r="P397" i="41"/>
  <c r="X397" i="41" s="1"/>
  <c r="Q397" i="41"/>
  <c r="V397" i="41" s="1"/>
  <c r="AC397" i="41"/>
  <c r="AE397" i="41"/>
  <c r="AM397" i="41"/>
  <c r="AN397" i="41" s="1"/>
  <c r="AO397" i="41" s="1"/>
  <c r="AP397" i="41" s="1"/>
  <c r="S397" i="41" s="1"/>
  <c r="P398" i="41"/>
  <c r="X398" i="41" s="1"/>
  <c r="Q398" i="41"/>
  <c r="V398" i="41" s="1"/>
  <c r="AC398" i="41"/>
  <c r="AE398" i="41"/>
  <c r="AM398" i="41"/>
  <c r="AN398" i="41" s="1"/>
  <c r="AO398" i="41" s="1"/>
  <c r="AP398" i="41" s="1"/>
  <c r="S398" i="41" s="1"/>
  <c r="P399" i="41"/>
  <c r="X399" i="41" s="1"/>
  <c r="Q399" i="41"/>
  <c r="V399" i="41" s="1"/>
  <c r="AC399" i="41"/>
  <c r="AE399" i="41"/>
  <c r="AM399" i="41"/>
  <c r="AN399" i="41" s="1"/>
  <c r="AO399" i="41" s="1"/>
  <c r="S399" i="41" s="1"/>
  <c r="P400" i="41"/>
  <c r="X400" i="41" s="1"/>
  <c r="Q400" i="41"/>
  <c r="V400" i="41" s="1"/>
  <c r="AC400" i="41"/>
  <c r="AE400" i="41"/>
  <c r="AM400" i="41"/>
  <c r="AN400" i="41" s="1"/>
  <c r="AO400" i="41" s="1"/>
  <c r="AP400" i="41" s="1"/>
  <c r="S400" i="41" s="1"/>
  <c r="P401" i="41"/>
  <c r="X401" i="41" s="1"/>
  <c r="Q401" i="41"/>
  <c r="V401" i="41" s="1"/>
  <c r="AC401" i="41"/>
  <c r="AE401" i="41"/>
  <c r="AM401" i="41"/>
  <c r="AN401" i="41" s="1"/>
  <c r="AO401" i="41" s="1"/>
  <c r="AP401" i="41" s="1"/>
  <c r="S401" i="41" s="1"/>
  <c r="P402" i="41"/>
  <c r="X402" i="41" s="1"/>
  <c r="Q402" i="41"/>
  <c r="V402" i="41" s="1"/>
  <c r="AC402" i="41"/>
  <c r="AE402" i="41"/>
  <c r="AM402" i="41"/>
  <c r="AN402" i="41" s="1"/>
  <c r="AO402" i="41" s="1"/>
  <c r="AP402" i="41" s="1"/>
  <c r="S402" i="41" s="1"/>
  <c r="P403" i="41"/>
  <c r="X403" i="41" s="1"/>
  <c r="Q403" i="41"/>
  <c r="V403" i="41" s="1"/>
  <c r="AC403" i="41"/>
  <c r="AE403" i="41"/>
  <c r="AM403" i="41"/>
  <c r="AN403" i="41" s="1"/>
  <c r="AO403" i="41" s="1"/>
  <c r="AP403" i="41" s="1"/>
  <c r="S403" i="41" s="1"/>
  <c r="P404" i="41"/>
  <c r="X404" i="41" s="1"/>
  <c r="Q404" i="41"/>
  <c r="V404" i="41" s="1"/>
  <c r="AC404" i="41"/>
  <c r="AE404" i="41"/>
  <c r="AM404" i="41"/>
  <c r="AN404" i="41" s="1"/>
  <c r="AO404" i="41" s="1"/>
  <c r="AP404" i="41" s="1"/>
  <c r="S404" i="41" s="1"/>
  <c r="P405" i="41"/>
  <c r="X405" i="41" s="1"/>
  <c r="Q405" i="41"/>
  <c r="V405" i="41" s="1"/>
  <c r="AC405" i="41"/>
  <c r="AE405" i="41"/>
  <c r="AM405" i="41"/>
  <c r="AN405" i="41" s="1"/>
  <c r="AO405" i="41" s="1"/>
  <c r="AP405" i="41" s="1"/>
  <c r="S405" i="41" s="1"/>
  <c r="P406" i="41"/>
  <c r="X406" i="41" s="1"/>
  <c r="Q406" i="41"/>
  <c r="V406" i="41" s="1"/>
  <c r="AC406" i="41"/>
  <c r="AE406" i="41"/>
  <c r="AM406" i="41"/>
  <c r="AN406" i="41" s="1"/>
  <c r="AO406" i="41" s="1"/>
  <c r="AP406" i="41" s="1"/>
  <c r="S406" i="41" s="1"/>
  <c r="P407" i="41"/>
  <c r="X407" i="41" s="1"/>
  <c r="Q407" i="41"/>
  <c r="V407" i="41" s="1"/>
  <c r="AC407" i="41"/>
  <c r="AE407" i="41"/>
  <c r="AM407" i="41"/>
  <c r="AN407" i="41" s="1"/>
  <c r="AO407" i="41" s="1"/>
  <c r="AP407" i="41" s="1"/>
  <c r="S407" i="41" s="1"/>
  <c r="P408" i="41"/>
  <c r="X408" i="41" s="1"/>
  <c r="Q408" i="41"/>
  <c r="V408" i="41" s="1"/>
  <c r="AC408" i="41"/>
  <c r="AE408" i="41"/>
  <c r="AM408" i="41"/>
  <c r="AN408" i="41" s="1"/>
  <c r="AO408" i="41" s="1"/>
  <c r="AP408" i="41" s="1"/>
  <c r="S408" i="41" s="1"/>
  <c r="P409" i="41"/>
  <c r="X409" i="41" s="1"/>
  <c r="Q409" i="41"/>
  <c r="V409" i="41" s="1"/>
  <c r="AC409" i="41"/>
  <c r="AE409" i="41"/>
  <c r="AM409" i="41"/>
  <c r="AN409" i="41" s="1"/>
  <c r="AO409" i="41" s="1"/>
  <c r="AP409" i="41" s="1"/>
  <c r="S409" i="41" s="1"/>
  <c r="P410" i="41"/>
  <c r="X410" i="41" s="1"/>
  <c r="Q410" i="41"/>
  <c r="V410" i="41" s="1"/>
  <c r="AC410" i="41"/>
  <c r="AE410" i="41"/>
  <c r="AM410" i="41"/>
  <c r="AN410" i="41" s="1"/>
  <c r="AO410" i="41" s="1"/>
  <c r="S410" i="41" s="1"/>
  <c r="P411" i="41"/>
  <c r="X411" i="41" s="1"/>
  <c r="Q411" i="41"/>
  <c r="V411" i="41" s="1"/>
  <c r="AC411" i="41"/>
  <c r="AE411" i="41"/>
  <c r="AM411" i="41"/>
  <c r="AN411" i="41" s="1"/>
  <c r="AO411" i="41" s="1"/>
  <c r="AP411" i="41" s="1"/>
  <c r="S411" i="41" s="1"/>
  <c r="P412" i="41"/>
  <c r="X412" i="41" s="1"/>
  <c r="Q412" i="41"/>
  <c r="V412" i="41" s="1"/>
  <c r="AC412" i="41"/>
  <c r="AE412" i="41"/>
  <c r="AM412" i="41"/>
  <c r="AN412" i="41" s="1"/>
  <c r="AO412" i="41" s="1"/>
  <c r="AP412" i="41" s="1"/>
  <c r="S412" i="41" s="1"/>
  <c r="P413" i="41"/>
  <c r="X413" i="41" s="1"/>
  <c r="Q413" i="41"/>
  <c r="V413" i="41" s="1"/>
  <c r="AC413" i="41"/>
  <c r="AE413" i="41"/>
  <c r="AM413" i="41"/>
  <c r="AN413" i="41" s="1"/>
  <c r="AO413" i="41" s="1"/>
  <c r="S413" i="41" s="1"/>
  <c r="P414" i="41"/>
  <c r="X414" i="41" s="1"/>
  <c r="Q414" i="41"/>
  <c r="V414" i="41" s="1"/>
  <c r="AC414" i="41"/>
  <c r="AE414" i="41"/>
  <c r="AM414" i="41"/>
  <c r="AN414" i="41" s="1"/>
  <c r="AO414" i="41" s="1"/>
  <c r="S414" i="41" s="1"/>
  <c r="P415" i="41"/>
  <c r="X415" i="41" s="1"/>
  <c r="Q415" i="41"/>
  <c r="V415" i="41" s="1"/>
  <c r="AC415" i="41"/>
  <c r="AE415" i="41"/>
  <c r="AM415" i="41"/>
  <c r="AN415" i="41" s="1"/>
  <c r="AO415" i="41" s="1"/>
  <c r="S415" i="41" s="1"/>
  <c r="P416" i="41"/>
  <c r="X416" i="41" s="1"/>
  <c r="Q416" i="41"/>
  <c r="AC416" i="41"/>
  <c r="AE416" i="41"/>
  <c r="AM416" i="41"/>
  <c r="AN416" i="41" s="1"/>
  <c r="AO416" i="41" s="1"/>
  <c r="S416" i="41" s="1"/>
  <c r="P417" i="41"/>
  <c r="X417" i="41" s="1"/>
  <c r="Q417" i="41"/>
  <c r="V417" i="41" s="1"/>
  <c r="AC417" i="41"/>
  <c r="AE417" i="41"/>
  <c r="AM417" i="41"/>
  <c r="AN417" i="41" s="1"/>
  <c r="AO417" i="41" s="1"/>
  <c r="S417" i="41" s="1"/>
  <c r="P418" i="41"/>
  <c r="X418" i="41" s="1"/>
  <c r="Q418" i="41"/>
  <c r="V418" i="41" s="1"/>
  <c r="AC418" i="41"/>
  <c r="AE418" i="41"/>
  <c r="AM418" i="41"/>
  <c r="AN418" i="41" s="1"/>
  <c r="AO418" i="41" s="1"/>
  <c r="P419" i="41"/>
  <c r="X419" i="41" s="1"/>
  <c r="Q419" i="41"/>
  <c r="AC419" i="41"/>
  <c r="AE419" i="41"/>
  <c r="AM419" i="41"/>
  <c r="AN419" i="41" s="1"/>
  <c r="AO419" i="41" s="1"/>
  <c r="AP419" i="41" s="1"/>
  <c r="S419" i="41" s="1"/>
  <c r="P420" i="41"/>
  <c r="X420" i="41" s="1"/>
  <c r="Q420" i="41"/>
  <c r="V420" i="41" s="1"/>
  <c r="AC420" i="41"/>
  <c r="AE420" i="41"/>
  <c r="AM420" i="41"/>
  <c r="AN420" i="41" s="1"/>
  <c r="AO420" i="41" s="1"/>
  <c r="AP420" i="41" s="1"/>
  <c r="S420" i="41" s="1"/>
  <c r="P421" i="41"/>
  <c r="X421" i="41" s="1"/>
  <c r="Q421" i="41"/>
  <c r="V421" i="41" s="1"/>
  <c r="AC421" i="41"/>
  <c r="AE421" i="41"/>
  <c r="AM421" i="41"/>
  <c r="AN421" i="41" s="1"/>
  <c r="AO421" i="41" s="1"/>
  <c r="AP421" i="41" s="1"/>
  <c r="S421" i="41" s="1"/>
  <c r="P422" i="41"/>
  <c r="X422" i="41" s="1"/>
  <c r="Q422" i="41"/>
  <c r="V422" i="41" s="1"/>
  <c r="AC422" i="41"/>
  <c r="AE422" i="41"/>
  <c r="AM422" i="41"/>
  <c r="AN422" i="41" s="1"/>
  <c r="AO422" i="41" s="1"/>
  <c r="AP422" i="41" s="1"/>
  <c r="S422" i="41" s="1"/>
  <c r="P423" i="41"/>
  <c r="X423" i="41" s="1"/>
  <c r="Q423" i="41"/>
  <c r="V423" i="41" s="1"/>
  <c r="AC423" i="41"/>
  <c r="AE423" i="41"/>
  <c r="AM423" i="41"/>
  <c r="AN423" i="41" s="1"/>
  <c r="AO423" i="41" s="1"/>
  <c r="AP423" i="41" s="1"/>
  <c r="S423" i="41" s="1"/>
  <c r="P424" i="41"/>
  <c r="X424" i="41" s="1"/>
  <c r="Q424" i="41"/>
  <c r="V424" i="41" s="1"/>
  <c r="AC424" i="41"/>
  <c r="AE424" i="41"/>
  <c r="AM424" i="41"/>
  <c r="AN424" i="41" s="1"/>
  <c r="AO424" i="41" s="1"/>
  <c r="AP424" i="41" s="1"/>
  <c r="S424" i="41" s="1"/>
  <c r="P425" i="41"/>
  <c r="X425" i="41" s="1"/>
  <c r="Q425" i="41"/>
  <c r="V425" i="41" s="1"/>
  <c r="AC425" i="41"/>
  <c r="AE425" i="41"/>
  <c r="AM425" i="41"/>
  <c r="AN425" i="41" s="1"/>
  <c r="AO425" i="41" s="1"/>
  <c r="AP425" i="41" s="1"/>
  <c r="S425" i="41" s="1"/>
  <c r="P426" i="41"/>
  <c r="X426" i="41" s="1"/>
  <c r="Q426" i="41"/>
  <c r="V426" i="41" s="1"/>
  <c r="AC426" i="41"/>
  <c r="AE426" i="41"/>
  <c r="AM426" i="41"/>
  <c r="AN426" i="41" s="1"/>
  <c r="AO426" i="41" s="1"/>
  <c r="AP426" i="41" s="1"/>
  <c r="S426" i="41" s="1"/>
  <c r="P427" i="41"/>
  <c r="X427" i="41" s="1"/>
  <c r="Q427" i="41"/>
  <c r="V427" i="41" s="1"/>
  <c r="AC427" i="41"/>
  <c r="AE427" i="41"/>
  <c r="AM427" i="41"/>
  <c r="AN427" i="41" s="1"/>
  <c r="AO427" i="41" s="1"/>
  <c r="AP427" i="41" s="1"/>
  <c r="S427" i="41" s="1"/>
  <c r="P428" i="41"/>
  <c r="X428" i="41" s="1"/>
  <c r="Q428" i="41"/>
  <c r="AC428" i="41"/>
  <c r="AE428" i="41"/>
  <c r="AM428" i="41"/>
  <c r="AN428" i="41" s="1"/>
  <c r="AO428" i="41" s="1"/>
  <c r="P429" i="41"/>
  <c r="X429" i="41" s="1"/>
  <c r="Q429" i="41"/>
  <c r="V429" i="41" s="1"/>
  <c r="AC429" i="41"/>
  <c r="AE429" i="41"/>
  <c r="AM429" i="41"/>
  <c r="AN429" i="41" s="1"/>
  <c r="AO429" i="41" s="1"/>
  <c r="P430" i="41"/>
  <c r="X430" i="41" s="1"/>
  <c r="Q430" i="41"/>
  <c r="AC430" i="41"/>
  <c r="AE430" i="41"/>
  <c r="AM430" i="41"/>
  <c r="P431" i="41"/>
  <c r="X431" i="41" s="1"/>
  <c r="Q431" i="41"/>
  <c r="V431" i="41" s="1"/>
  <c r="AC431" i="41"/>
  <c r="AE431" i="41"/>
  <c r="AM431" i="41"/>
  <c r="AN431" i="41" s="1"/>
  <c r="AO431" i="41" s="1"/>
  <c r="P432" i="41"/>
  <c r="X432" i="41" s="1"/>
  <c r="Q432" i="41"/>
  <c r="AC432" i="41"/>
  <c r="AE432" i="41"/>
  <c r="AM432" i="41"/>
  <c r="P433" i="41"/>
  <c r="X433" i="41" s="1"/>
  <c r="Q433" i="41"/>
  <c r="AC433" i="41"/>
  <c r="AE433" i="41"/>
  <c r="AM433" i="41"/>
  <c r="P434" i="41"/>
  <c r="X434" i="41" s="1"/>
  <c r="Q434" i="41"/>
  <c r="V434" i="41" s="1"/>
  <c r="AC434" i="41"/>
  <c r="AE434" i="41"/>
  <c r="AM434" i="41"/>
  <c r="AN434" i="41" s="1"/>
  <c r="AO434" i="41" s="1"/>
  <c r="P435" i="41"/>
  <c r="X435" i="41" s="1"/>
  <c r="Q435" i="41"/>
  <c r="V435" i="41" s="1"/>
  <c r="AC435" i="41"/>
  <c r="AE435" i="41"/>
  <c r="AM435" i="41"/>
  <c r="AN435" i="41" s="1"/>
  <c r="AO435" i="41" s="1"/>
  <c r="P436" i="41"/>
  <c r="X436" i="41" s="1"/>
  <c r="Q436" i="41"/>
  <c r="AC436" i="41"/>
  <c r="AE436" i="41"/>
  <c r="AM436" i="41"/>
  <c r="P437" i="41"/>
  <c r="X437" i="41" s="1"/>
  <c r="Q437" i="41"/>
  <c r="AC437" i="41"/>
  <c r="AE437" i="41"/>
  <c r="AM437" i="41"/>
  <c r="P438" i="41"/>
  <c r="X438" i="41" s="1"/>
  <c r="Q438" i="41"/>
  <c r="V438" i="41" s="1"/>
  <c r="AC438" i="41"/>
  <c r="AE438" i="41"/>
  <c r="AM438" i="41"/>
  <c r="AN438" i="41" s="1"/>
  <c r="AO438" i="41" s="1"/>
  <c r="AP438" i="41" s="1"/>
  <c r="S438" i="41" s="1"/>
  <c r="P439" i="41"/>
  <c r="X439" i="41" s="1"/>
  <c r="Q439" i="41"/>
  <c r="AC439" i="41"/>
  <c r="AE439" i="41"/>
  <c r="AM439" i="41"/>
  <c r="AN439" i="41" s="1"/>
  <c r="AO439" i="41" s="1"/>
  <c r="AP439" i="41" s="1"/>
  <c r="S439" i="41" s="1"/>
  <c r="P440" i="41"/>
  <c r="X440" i="41" s="1"/>
  <c r="Q440" i="41"/>
  <c r="AC440" i="41"/>
  <c r="AE440" i="41"/>
  <c r="AM440" i="41"/>
  <c r="AN440" i="41" s="1"/>
  <c r="AO440" i="41" s="1"/>
  <c r="AP440" i="41" s="1"/>
  <c r="S440" i="41" s="1"/>
  <c r="P441" i="41"/>
  <c r="X441" i="41" s="1"/>
  <c r="Q441" i="41"/>
  <c r="AC441" i="41"/>
  <c r="AE441" i="41"/>
  <c r="AM441" i="41"/>
  <c r="P442" i="41"/>
  <c r="X442" i="41" s="1"/>
  <c r="Q442" i="41"/>
  <c r="AC442" i="41"/>
  <c r="AE442" i="41"/>
  <c r="AM442" i="41"/>
  <c r="P443" i="41"/>
  <c r="X443" i="41" s="1"/>
  <c r="Q443" i="41"/>
  <c r="AC443" i="41"/>
  <c r="AE443" i="41"/>
  <c r="AM443" i="41"/>
  <c r="P444" i="41"/>
  <c r="X444" i="41" s="1"/>
  <c r="Q444" i="41"/>
  <c r="AC444" i="41"/>
  <c r="AE444" i="41"/>
  <c r="AM444" i="41"/>
  <c r="P445" i="41"/>
  <c r="X445" i="41" s="1"/>
  <c r="Q445" i="41"/>
  <c r="AC445" i="41"/>
  <c r="AE445" i="41"/>
  <c r="AM445" i="41"/>
  <c r="P446" i="41"/>
  <c r="X446" i="41" s="1"/>
  <c r="Q446" i="41"/>
  <c r="AC446" i="41"/>
  <c r="AE446" i="41"/>
  <c r="AM446" i="41"/>
  <c r="P447" i="41"/>
  <c r="X447" i="41" s="1"/>
  <c r="Q447" i="41"/>
  <c r="AC447" i="41"/>
  <c r="AE447" i="41"/>
  <c r="AM447" i="41"/>
  <c r="P448" i="41"/>
  <c r="X448" i="41" s="1"/>
  <c r="Q448" i="41"/>
  <c r="V448" i="41" s="1"/>
  <c r="AC448" i="41"/>
  <c r="AE448" i="41"/>
  <c r="AM448" i="41"/>
  <c r="AN448" i="41" s="1"/>
  <c r="AO448" i="41" s="1"/>
  <c r="P449" i="41"/>
  <c r="X449" i="41" s="1"/>
  <c r="Q449" i="41"/>
  <c r="V449" i="41" s="1"/>
  <c r="AC449" i="41"/>
  <c r="AE449" i="41"/>
  <c r="AM449" i="41"/>
  <c r="AN449" i="41" s="1"/>
  <c r="AO449" i="41" s="1"/>
  <c r="P450" i="41"/>
  <c r="X450" i="41" s="1"/>
  <c r="Q450" i="41"/>
  <c r="V450" i="41" s="1"/>
  <c r="AC450" i="41"/>
  <c r="AE450" i="41"/>
  <c r="AM450" i="41"/>
  <c r="AN450" i="41" s="1"/>
  <c r="AO450" i="41" s="1"/>
  <c r="P451" i="41"/>
  <c r="X451" i="41" s="1"/>
  <c r="Q451" i="41"/>
  <c r="V451" i="41" s="1"/>
  <c r="AC451" i="41"/>
  <c r="AE451" i="41"/>
  <c r="AM451" i="41"/>
  <c r="AN451" i="41" s="1"/>
  <c r="AO451" i="41" s="1"/>
  <c r="P452" i="41"/>
  <c r="X452" i="41" s="1"/>
  <c r="Q452" i="41"/>
  <c r="V452" i="41" s="1"/>
  <c r="AC452" i="41"/>
  <c r="AE452" i="41"/>
  <c r="AM452" i="41"/>
  <c r="AN452" i="41" s="1"/>
  <c r="AO452" i="41" s="1"/>
  <c r="P453" i="41"/>
  <c r="X453" i="41" s="1"/>
  <c r="Q453" i="41"/>
  <c r="V453" i="41" s="1"/>
  <c r="AC453" i="41"/>
  <c r="AE453" i="41"/>
  <c r="AM453" i="41"/>
  <c r="AN453" i="41" s="1"/>
  <c r="AO453" i="41" s="1"/>
  <c r="P454" i="41"/>
  <c r="X454" i="41" s="1"/>
  <c r="Q454" i="41"/>
  <c r="V454" i="41" s="1"/>
  <c r="AC454" i="41"/>
  <c r="AE454" i="41"/>
  <c r="AM454" i="41"/>
  <c r="AN454" i="41" s="1"/>
  <c r="AO454" i="41" s="1"/>
  <c r="P455" i="41"/>
  <c r="X455" i="41" s="1"/>
  <c r="Q455" i="41"/>
  <c r="V455" i="41" s="1"/>
  <c r="AC455" i="41"/>
  <c r="AE455" i="41"/>
  <c r="AM455" i="41"/>
  <c r="AN455" i="41" s="1"/>
  <c r="AO455" i="41" s="1"/>
  <c r="P456" i="41"/>
  <c r="X456" i="41" s="1"/>
  <c r="Q456" i="41"/>
  <c r="V456" i="41" s="1"/>
  <c r="AC456" i="41"/>
  <c r="AE456" i="41"/>
  <c r="AM456" i="41"/>
  <c r="AN456" i="41" s="1"/>
  <c r="AO456" i="41" s="1"/>
  <c r="P457" i="41"/>
  <c r="X457" i="41" s="1"/>
  <c r="Q457" i="41"/>
  <c r="V457" i="41" s="1"/>
  <c r="AC457" i="41"/>
  <c r="AE457" i="41"/>
  <c r="AM457" i="41"/>
  <c r="AN457" i="41" s="1"/>
  <c r="AO457" i="41" s="1"/>
  <c r="P458" i="41"/>
  <c r="X458" i="41" s="1"/>
  <c r="Q458" i="41"/>
  <c r="V458" i="41" s="1"/>
  <c r="AC458" i="41"/>
  <c r="AE458" i="41"/>
  <c r="AM458" i="41"/>
  <c r="AN458" i="41" s="1"/>
  <c r="AO458" i="41" s="1"/>
  <c r="P459" i="41"/>
  <c r="X459" i="41" s="1"/>
  <c r="Q459" i="41"/>
  <c r="V459" i="41" s="1"/>
  <c r="AC459" i="41"/>
  <c r="AE459" i="41"/>
  <c r="AM459" i="41"/>
  <c r="AN459" i="41" s="1"/>
  <c r="AO459" i="41" s="1"/>
  <c r="P460" i="41"/>
  <c r="X460" i="41" s="1"/>
  <c r="Q460" i="41"/>
  <c r="V460" i="41" s="1"/>
  <c r="AC460" i="41"/>
  <c r="AE460" i="41"/>
  <c r="AM460" i="41"/>
  <c r="AN460" i="41" s="1"/>
  <c r="AO460" i="41" s="1"/>
  <c r="P461" i="41"/>
  <c r="X461" i="41" s="1"/>
  <c r="Q461" i="41"/>
  <c r="V461" i="41" s="1"/>
  <c r="AC461" i="41"/>
  <c r="AE461" i="41"/>
  <c r="AM461" i="41"/>
  <c r="AN461" i="41" s="1"/>
  <c r="AO461" i="41" s="1"/>
  <c r="P462" i="41"/>
  <c r="X462" i="41" s="1"/>
  <c r="Q462" i="41"/>
  <c r="V462" i="41" s="1"/>
  <c r="AC462" i="41"/>
  <c r="AE462" i="41"/>
  <c r="AM462" i="41"/>
  <c r="AN462" i="41" s="1"/>
  <c r="AO462" i="41" s="1"/>
  <c r="P463" i="41"/>
  <c r="X463" i="41" s="1"/>
  <c r="Q463" i="41"/>
  <c r="V463" i="41" s="1"/>
  <c r="AC463" i="41"/>
  <c r="AE463" i="41"/>
  <c r="AM463" i="41"/>
  <c r="AN463" i="41" s="1"/>
  <c r="AO463" i="41" s="1"/>
  <c r="P464" i="41"/>
  <c r="X464" i="41" s="1"/>
  <c r="Q464" i="41"/>
  <c r="V464" i="41" s="1"/>
  <c r="AC464" i="41"/>
  <c r="AE464" i="41"/>
  <c r="AM464" i="41"/>
  <c r="AN464" i="41" s="1"/>
  <c r="AO464" i="41" s="1"/>
  <c r="P465" i="41"/>
  <c r="X465" i="41" s="1"/>
  <c r="Q465" i="41"/>
  <c r="V465" i="41" s="1"/>
  <c r="AC465" i="41"/>
  <c r="AE465" i="41"/>
  <c r="AM465" i="41"/>
  <c r="AN465" i="41" s="1"/>
  <c r="AO465" i="41" s="1"/>
  <c r="P466" i="41"/>
  <c r="X466" i="41" s="1"/>
  <c r="Q466" i="41"/>
  <c r="V466" i="41" s="1"/>
  <c r="AC466" i="41"/>
  <c r="AE466" i="41"/>
  <c r="AM466" i="41"/>
  <c r="AN466" i="41" s="1"/>
  <c r="AO466" i="41" s="1"/>
  <c r="P467" i="41"/>
  <c r="X467" i="41" s="1"/>
  <c r="Q467" i="41"/>
  <c r="V467" i="41" s="1"/>
  <c r="AC467" i="41"/>
  <c r="AE467" i="41"/>
  <c r="AM467" i="41"/>
  <c r="AN467" i="41" s="1"/>
  <c r="AO467" i="41" s="1"/>
  <c r="P468" i="41"/>
  <c r="X468" i="41" s="1"/>
  <c r="Q468" i="41"/>
  <c r="V468" i="41" s="1"/>
  <c r="AC468" i="41"/>
  <c r="AE468" i="41"/>
  <c r="AM468" i="41"/>
  <c r="AN468" i="41" s="1"/>
  <c r="AO468" i="41" s="1"/>
  <c r="P469" i="41"/>
  <c r="X469" i="41" s="1"/>
  <c r="Q469" i="41"/>
  <c r="V469" i="41" s="1"/>
  <c r="AC469" i="41"/>
  <c r="AE469" i="41"/>
  <c r="AM469" i="41"/>
  <c r="AN469" i="41" s="1"/>
  <c r="AO469" i="41" s="1"/>
  <c r="P470" i="41"/>
  <c r="X470" i="41" s="1"/>
  <c r="Q470" i="41"/>
  <c r="V470" i="41" s="1"/>
  <c r="AC470" i="41"/>
  <c r="AE470" i="41"/>
  <c r="AM470" i="41"/>
  <c r="AN470" i="41" s="1"/>
  <c r="AO470" i="41" s="1"/>
  <c r="P471" i="41"/>
  <c r="X471" i="41" s="1"/>
  <c r="Q471" i="41"/>
  <c r="V471" i="41" s="1"/>
  <c r="AC471" i="41"/>
  <c r="AE471" i="41"/>
  <c r="AM471" i="41"/>
  <c r="AN471" i="41" s="1"/>
  <c r="AO471" i="41" s="1"/>
  <c r="P472" i="41"/>
  <c r="X472" i="41" s="1"/>
  <c r="Q472" i="41"/>
  <c r="V472" i="41" s="1"/>
  <c r="AC472" i="41"/>
  <c r="AE472" i="41"/>
  <c r="AM472" i="41"/>
  <c r="AN472" i="41" s="1"/>
  <c r="AO472" i="41" s="1"/>
  <c r="P473" i="41"/>
  <c r="X473" i="41" s="1"/>
  <c r="Q473" i="41"/>
  <c r="V473" i="41" s="1"/>
  <c r="AC473" i="41"/>
  <c r="AE473" i="41"/>
  <c r="AM473" i="41"/>
  <c r="AN473" i="41" s="1"/>
  <c r="AO473" i="41" s="1"/>
  <c r="P474" i="41"/>
  <c r="X474" i="41" s="1"/>
  <c r="Q474" i="41"/>
  <c r="V474" i="41" s="1"/>
  <c r="AC474" i="41"/>
  <c r="AE474" i="41"/>
  <c r="AM474" i="41"/>
  <c r="AN474" i="41" s="1"/>
  <c r="AO474" i="41" s="1"/>
  <c r="P475" i="41"/>
  <c r="X475" i="41" s="1"/>
  <c r="Q475" i="41"/>
  <c r="V475" i="41" s="1"/>
  <c r="AC475" i="41"/>
  <c r="AE475" i="41"/>
  <c r="AM475" i="41"/>
  <c r="AN475" i="41" s="1"/>
  <c r="AO475" i="41" s="1"/>
  <c r="P476" i="41"/>
  <c r="X476" i="41" s="1"/>
  <c r="Q476" i="41"/>
  <c r="V476" i="41" s="1"/>
  <c r="AC476" i="41"/>
  <c r="AE476" i="41"/>
  <c r="AM476" i="41"/>
  <c r="AN476" i="41" s="1"/>
  <c r="AO476" i="41" s="1"/>
  <c r="P477" i="41"/>
  <c r="X477" i="41" s="1"/>
  <c r="Q477" i="41"/>
  <c r="V477" i="41" s="1"/>
  <c r="AC477" i="41"/>
  <c r="AE477" i="41"/>
  <c r="AM477" i="41"/>
  <c r="AN477" i="41" s="1"/>
  <c r="AO477" i="41" s="1"/>
  <c r="P478" i="41"/>
  <c r="X478" i="41" s="1"/>
  <c r="Q478" i="41"/>
  <c r="V478" i="41" s="1"/>
  <c r="AC478" i="41"/>
  <c r="AE478" i="41"/>
  <c r="AM478" i="41"/>
  <c r="AN478" i="41" s="1"/>
  <c r="AO478" i="41" s="1"/>
  <c r="P479" i="41"/>
  <c r="X479" i="41" s="1"/>
  <c r="Q479" i="41"/>
  <c r="V479" i="41" s="1"/>
  <c r="AC479" i="41"/>
  <c r="AE479" i="41"/>
  <c r="AM479" i="41"/>
  <c r="AN479" i="41" s="1"/>
  <c r="AO479" i="41" s="1"/>
  <c r="P480" i="41"/>
  <c r="X480" i="41" s="1"/>
  <c r="Q480" i="41"/>
  <c r="V480" i="41" s="1"/>
  <c r="AC480" i="41"/>
  <c r="AE480" i="41"/>
  <c r="AM480" i="41"/>
  <c r="AN480" i="41" s="1"/>
  <c r="AO480" i="41" s="1"/>
  <c r="P481" i="41"/>
  <c r="X481" i="41" s="1"/>
  <c r="Q481" i="41"/>
  <c r="V481" i="41" s="1"/>
  <c r="AC481" i="41"/>
  <c r="AE481" i="41"/>
  <c r="AM481" i="41"/>
  <c r="AN481" i="41" s="1"/>
  <c r="AO481" i="41" s="1"/>
  <c r="P482" i="41"/>
  <c r="X482" i="41" s="1"/>
  <c r="Q482" i="41"/>
  <c r="V482" i="41" s="1"/>
  <c r="AC482" i="41"/>
  <c r="AE482" i="41"/>
  <c r="AM482" i="41"/>
  <c r="AN482" i="41" s="1"/>
  <c r="AO482" i="41" s="1"/>
  <c r="P483" i="41"/>
  <c r="X483" i="41" s="1"/>
  <c r="Q483" i="41"/>
  <c r="V483" i="41" s="1"/>
  <c r="AC483" i="41"/>
  <c r="AE483" i="41"/>
  <c r="AM483" i="41"/>
  <c r="AN483" i="41" s="1"/>
  <c r="AO483" i="41" s="1"/>
  <c r="P484" i="41"/>
  <c r="X484" i="41" s="1"/>
  <c r="Q484" i="41"/>
  <c r="V484" i="41" s="1"/>
  <c r="AC484" i="41"/>
  <c r="AE484" i="41"/>
  <c r="AM484" i="41"/>
  <c r="AN484" i="41" s="1"/>
  <c r="AO484" i="41" s="1"/>
  <c r="P485" i="41"/>
  <c r="X485" i="41" s="1"/>
  <c r="Q485" i="41"/>
  <c r="V485" i="41" s="1"/>
  <c r="AC485" i="41"/>
  <c r="AE485" i="41"/>
  <c r="AM485" i="41"/>
  <c r="AN485" i="41" s="1"/>
  <c r="AO485" i="41" s="1"/>
  <c r="P486" i="41"/>
  <c r="X486" i="41" s="1"/>
  <c r="Q486" i="41"/>
  <c r="V486" i="41" s="1"/>
  <c r="AC486" i="41"/>
  <c r="AE486" i="41"/>
  <c r="AM486" i="41"/>
  <c r="AN486" i="41" s="1"/>
  <c r="AO486" i="41" s="1"/>
  <c r="P487" i="41"/>
  <c r="X487" i="41" s="1"/>
  <c r="Q487" i="41"/>
  <c r="V487" i="41" s="1"/>
  <c r="AC487" i="41"/>
  <c r="AE487" i="41"/>
  <c r="AM487" i="41"/>
  <c r="AN487" i="41" s="1"/>
  <c r="AO487" i="41" s="1"/>
  <c r="P488" i="41"/>
  <c r="X488" i="41" s="1"/>
  <c r="Q488" i="41"/>
  <c r="V488" i="41" s="1"/>
  <c r="AC488" i="41"/>
  <c r="AE488" i="41"/>
  <c r="AM488" i="41"/>
  <c r="AN488" i="41" s="1"/>
  <c r="AO488" i="41" s="1"/>
  <c r="P489" i="41"/>
  <c r="X489" i="41" s="1"/>
  <c r="Q489" i="41"/>
  <c r="V489" i="41" s="1"/>
  <c r="AC489" i="41"/>
  <c r="AE489" i="41"/>
  <c r="AM489" i="41"/>
  <c r="AN489" i="41" s="1"/>
  <c r="AO489" i="41" s="1"/>
  <c r="P490" i="41"/>
  <c r="X490" i="41" s="1"/>
  <c r="Q490" i="41"/>
  <c r="AC490" i="41"/>
  <c r="AE490" i="41"/>
  <c r="AM490" i="41"/>
  <c r="AN490" i="41" s="1"/>
  <c r="AO490" i="41" s="1"/>
  <c r="P491" i="41"/>
  <c r="X491" i="41" s="1"/>
  <c r="Q491" i="41"/>
  <c r="V491" i="41" s="1"/>
  <c r="AC491" i="41"/>
  <c r="AE491" i="41"/>
  <c r="AM491" i="41"/>
  <c r="AN491" i="41" s="1"/>
  <c r="AO491" i="41" s="1"/>
  <c r="P492" i="41"/>
  <c r="X492" i="41" s="1"/>
  <c r="Q492" i="41"/>
  <c r="V492" i="41" s="1"/>
  <c r="AC492" i="41"/>
  <c r="AE492" i="41"/>
  <c r="AM492" i="41"/>
  <c r="AN492" i="41" s="1"/>
  <c r="AO492" i="41" s="1"/>
  <c r="P493" i="41"/>
  <c r="X493" i="41" s="1"/>
  <c r="Q493" i="41"/>
  <c r="V493" i="41" s="1"/>
  <c r="AC493" i="41"/>
  <c r="AE493" i="41"/>
  <c r="AM493" i="41"/>
  <c r="AN493" i="41" s="1"/>
  <c r="AO493" i="41" s="1"/>
  <c r="P494" i="41"/>
  <c r="X494" i="41" s="1"/>
  <c r="Q494" i="41"/>
  <c r="V494" i="41" s="1"/>
  <c r="AC494" i="41"/>
  <c r="AE494" i="41"/>
  <c r="AM494" i="41"/>
  <c r="AN494" i="41" s="1"/>
  <c r="AO494" i="41" s="1"/>
  <c r="P495" i="41"/>
  <c r="X495" i="41" s="1"/>
  <c r="Q495" i="41"/>
  <c r="V495" i="41" s="1"/>
  <c r="AC495" i="41"/>
  <c r="AE495" i="41"/>
  <c r="AM495" i="41"/>
  <c r="AN495" i="41" s="1"/>
  <c r="AO495" i="41" s="1"/>
  <c r="P496" i="41"/>
  <c r="X496" i="41" s="1"/>
  <c r="Q496" i="41"/>
  <c r="V496" i="41" s="1"/>
  <c r="AC496" i="41"/>
  <c r="AE496" i="41"/>
  <c r="AM496" i="41"/>
  <c r="AN496" i="41" s="1"/>
  <c r="AO496" i="41" s="1"/>
  <c r="P497" i="41"/>
  <c r="X497" i="41" s="1"/>
  <c r="Q497" i="41"/>
  <c r="V497" i="41" s="1"/>
  <c r="AC497" i="41"/>
  <c r="AE497" i="41"/>
  <c r="AM497" i="41"/>
  <c r="AN497" i="41" s="1"/>
  <c r="AO497" i="41" s="1"/>
  <c r="P498" i="41"/>
  <c r="X498" i="41" s="1"/>
  <c r="Q498" i="41"/>
  <c r="V498" i="41" s="1"/>
  <c r="AC498" i="41"/>
  <c r="AE498" i="41"/>
  <c r="AM498" i="41"/>
  <c r="AN498" i="41" s="1"/>
  <c r="AO498" i="41" s="1"/>
  <c r="P499" i="41"/>
  <c r="X499" i="41" s="1"/>
  <c r="Q499" i="41"/>
  <c r="V499" i="41" s="1"/>
  <c r="AC499" i="41"/>
  <c r="AE499" i="41"/>
  <c r="AM499" i="41"/>
  <c r="AN499" i="41" s="1"/>
  <c r="AO499" i="41" s="1"/>
  <c r="P500" i="41"/>
  <c r="X500" i="41" s="1"/>
  <c r="Q500" i="41"/>
  <c r="V500" i="41" s="1"/>
  <c r="AC500" i="41"/>
  <c r="AE500" i="41"/>
  <c r="AM500" i="41"/>
  <c r="AN500" i="41" s="1"/>
  <c r="AO500" i="41" s="1"/>
  <c r="P501" i="41"/>
  <c r="X501" i="41" s="1"/>
  <c r="Q501" i="41"/>
  <c r="V501" i="41" s="1"/>
  <c r="AC501" i="41"/>
  <c r="AE501" i="41"/>
  <c r="AM501" i="41"/>
  <c r="AN501" i="41" s="1"/>
  <c r="AO501" i="41" s="1"/>
  <c r="P502" i="41"/>
  <c r="X502" i="41" s="1"/>
  <c r="Q502" i="41"/>
  <c r="V502" i="41" s="1"/>
  <c r="AC502" i="41"/>
  <c r="AE502" i="41"/>
  <c r="AM502" i="41"/>
  <c r="AN502" i="41" s="1"/>
  <c r="AO502" i="41" s="1"/>
  <c r="P503" i="41"/>
  <c r="X503" i="41" s="1"/>
  <c r="Q503" i="41"/>
  <c r="AC503" i="41"/>
  <c r="AE503" i="41"/>
  <c r="AM503" i="41"/>
  <c r="AN503" i="41" s="1"/>
  <c r="AO503" i="41" s="1"/>
  <c r="P504" i="41"/>
  <c r="X504" i="41" s="1"/>
  <c r="Q504" i="41"/>
  <c r="V504" i="41" s="1"/>
  <c r="AC504" i="41"/>
  <c r="AE504" i="41"/>
  <c r="AM504" i="41"/>
  <c r="AN504" i="41" s="1"/>
  <c r="AO504" i="41" s="1"/>
  <c r="P505" i="41"/>
  <c r="X505" i="41" s="1"/>
  <c r="Q505" i="41"/>
  <c r="V505" i="41" s="1"/>
  <c r="AC505" i="41"/>
  <c r="AE505" i="41"/>
  <c r="AM505" i="41"/>
  <c r="AN505" i="41" s="1"/>
  <c r="AO505" i="41" s="1"/>
  <c r="P506" i="41"/>
  <c r="X506" i="41" s="1"/>
  <c r="Q506" i="41"/>
  <c r="AC506" i="41"/>
  <c r="AE506" i="41"/>
  <c r="AM506" i="41"/>
  <c r="AN506" i="41" s="1"/>
  <c r="AO506" i="41" s="1"/>
  <c r="S506" i="41" s="1"/>
  <c r="A29" i="96"/>
  <c r="G28" i="96"/>
  <c r="A28" i="96"/>
  <c r="H27" i="96"/>
  <c r="G27" i="96"/>
  <c r="E27" i="96"/>
  <c r="A4" i="96"/>
  <c r="A3" i="96"/>
  <c r="A29" i="76"/>
  <c r="F28" i="76"/>
  <c r="A28" i="76"/>
  <c r="G27" i="76"/>
  <c r="F27" i="76"/>
  <c r="D27" i="76"/>
  <c r="A4" i="76"/>
  <c r="A3" i="76"/>
  <c r="A29" i="136"/>
  <c r="G28" i="136"/>
  <c r="A28" i="136"/>
  <c r="H27" i="136"/>
  <c r="E10" i="70" s="1"/>
  <c r="G27" i="136"/>
  <c r="D10" i="70" s="1"/>
  <c r="C10" i="70" s="1"/>
  <c r="E27" i="136"/>
  <c r="A4" i="136"/>
  <c r="A3" i="136"/>
  <c r="A29" i="111"/>
  <c r="F28" i="111"/>
  <c r="A28" i="111"/>
  <c r="G27" i="111"/>
  <c r="F27" i="111"/>
  <c r="D9" i="70" s="1"/>
  <c r="D27" i="111"/>
  <c r="A4" i="111"/>
  <c r="A3" i="111"/>
  <c r="A29" i="73"/>
  <c r="K28" i="73"/>
  <c r="A28" i="73"/>
  <c r="L27" i="73"/>
  <c r="E8" i="70" s="1"/>
  <c r="K27" i="73"/>
  <c r="G27" i="73"/>
  <c r="A4" i="73"/>
  <c r="A3" i="73"/>
  <c r="A29" i="110"/>
  <c r="I28" i="110"/>
  <c r="A28" i="110"/>
  <c r="J27" i="110"/>
  <c r="I27" i="110"/>
  <c r="G27" i="110"/>
  <c r="C7" i="70" s="1"/>
  <c r="A4" i="110"/>
  <c r="A3" i="110"/>
  <c r="A29" i="71"/>
  <c r="J28" i="71"/>
  <c r="A28" i="71"/>
  <c r="L27" i="71"/>
  <c r="J27" i="71"/>
  <c r="D6" i="70" s="1"/>
  <c r="H27" i="71"/>
  <c r="A4" i="71"/>
  <c r="A3" i="71"/>
  <c r="A30" i="70"/>
  <c r="E29" i="70"/>
  <c r="A29" i="70"/>
  <c r="D12" i="70"/>
  <c r="C12" i="70" s="1"/>
  <c r="D11" i="70"/>
  <c r="C11" i="70"/>
  <c r="E9" i="70"/>
  <c r="C8" i="70"/>
  <c r="E7" i="70"/>
  <c r="D7" i="70" s="1"/>
  <c r="G7" i="70" s="1"/>
  <c r="A4" i="70"/>
  <c r="A3" i="70"/>
  <c r="A29" i="69"/>
  <c r="G28" i="69"/>
  <c r="A28" i="69"/>
  <c r="H27" i="69"/>
  <c r="E17" i="55" s="1"/>
  <c r="G27" i="69"/>
  <c r="E27" i="69"/>
  <c r="A4" i="69"/>
  <c r="A3" i="69"/>
  <c r="A29" i="68"/>
  <c r="H28" i="68"/>
  <c r="A28" i="68"/>
  <c r="I27" i="68"/>
  <c r="H27" i="68"/>
  <c r="D16" i="55" s="1"/>
  <c r="G16" i="55" s="1"/>
  <c r="F27" i="68"/>
  <c r="A4" i="68"/>
  <c r="A3" i="68"/>
  <c r="A29" i="61"/>
  <c r="G28" i="61"/>
  <c r="A28" i="61"/>
  <c r="H27" i="61"/>
  <c r="G27" i="61"/>
  <c r="E27" i="61"/>
  <c r="A4" i="61"/>
  <c r="A3" i="61"/>
  <c r="A29" i="65"/>
  <c r="G28" i="65"/>
  <c r="A28" i="65"/>
  <c r="H27" i="65"/>
  <c r="G27" i="65"/>
  <c r="E27" i="65"/>
  <c r="A4" i="65"/>
  <c r="A3" i="65"/>
  <c r="A29" i="135"/>
  <c r="I28" i="135"/>
  <c r="A28" i="135"/>
  <c r="K27" i="135"/>
  <c r="J27" i="135"/>
  <c r="I27" i="135"/>
  <c r="G27" i="135"/>
  <c r="C13" i="55" s="1"/>
  <c r="D27" i="135"/>
  <c r="K25" i="135"/>
  <c r="K24" i="135"/>
  <c r="K23" i="135"/>
  <c r="K22" i="135"/>
  <c r="K21" i="135"/>
  <c r="K20" i="135"/>
  <c r="K19" i="135"/>
  <c r="K18" i="135"/>
  <c r="K17" i="135"/>
  <c r="K16" i="135"/>
  <c r="K15" i="135"/>
  <c r="K14" i="135"/>
  <c r="K13" i="135"/>
  <c r="K12" i="135"/>
  <c r="K11" i="135"/>
  <c r="K10" i="135"/>
  <c r="K9" i="135"/>
  <c r="K8" i="135"/>
  <c r="K7" i="135"/>
  <c r="K6" i="135"/>
  <c r="A4" i="135"/>
  <c r="A3" i="135"/>
  <c r="A29" i="64"/>
  <c r="G28" i="64"/>
  <c r="A28" i="64"/>
  <c r="H27" i="64"/>
  <c r="G27" i="64"/>
  <c r="D12" i="55" s="1"/>
  <c r="G12" i="55" s="1"/>
  <c r="E27" i="64"/>
  <c r="C12" i="55" s="1"/>
  <c r="A4" i="64"/>
  <c r="A3" i="64"/>
  <c r="A29" i="62"/>
  <c r="F28" i="62"/>
  <c r="A28" i="62"/>
  <c r="G27" i="62"/>
  <c r="F27" i="62"/>
  <c r="D27" i="62"/>
  <c r="C11" i="55" s="1"/>
  <c r="A4" i="62"/>
  <c r="A3" i="62"/>
  <c r="A29" i="59"/>
  <c r="G28" i="59"/>
  <c r="A28" i="59"/>
  <c r="H27" i="59"/>
  <c r="G27" i="59"/>
  <c r="D10" i="55" s="1"/>
  <c r="G10" i="55" s="1"/>
  <c r="E27" i="59"/>
  <c r="C10" i="55" s="1"/>
  <c r="A4" i="59"/>
  <c r="A3" i="59"/>
  <c r="A29" i="58"/>
  <c r="G28" i="58"/>
  <c r="A28" i="58"/>
  <c r="H27" i="58"/>
  <c r="G27" i="58"/>
  <c r="E27" i="58"/>
  <c r="A4" i="58"/>
  <c r="A3" i="58"/>
  <c r="A29" i="57"/>
  <c r="H28" i="57"/>
  <c r="A28" i="57"/>
  <c r="I27" i="57"/>
  <c r="H27" i="57"/>
  <c r="D8" i="55" s="1"/>
  <c r="F27" i="57"/>
  <c r="A4" i="57"/>
  <c r="A3" i="57"/>
  <c r="A29" i="134"/>
  <c r="G28" i="134"/>
  <c r="A28" i="134"/>
  <c r="H27" i="134"/>
  <c r="G27" i="134"/>
  <c r="E27" i="134"/>
  <c r="C7" i="55" s="1"/>
  <c r="A4" i="134"/>
  <c r="A3" i="134"/>
  <c r="A29" i="56"/>
  <c r="J28" i="56"/>
  <c r="A28" i="56"/>
  <c r="L27" i="56"/>
  <c r="J27" i="56"/>
  <c r="D6" i="55" s="1"/>
  <c r="H27" i="56"/>
  <c r="C6" i="55" s="1"/>
  <c r="A4" i="56"/>
  <c r="A3" i="56"/>
  <c r="A29" i="55"/>
  <c r="E28" i="55"/>
  <c r="A28" i="55"/>
  <c r="G26" i="55"/>
  <c r="G25" i="55"/>
  <c r="G24" i="55"/>
  <c r="G23" i="55"/>
  <c r="G22" i="55"/>
  <c r="G19" i="55"/>
  <c r="G18" i="55"/>
  <c r="C17" i="55"/>
  <c r="C16" i="55"/>
  <c r="E14" i="55"/>
  <c r="D14" i="55"/>
  <c r="G14" i="55" s="1"/>
  <c r="C14" i="55"/>
  <c r="E13" i="55"/>
  <c r="D13" i="55" s="1"/>
  <c r="G13" i="55" s="1"/>
  <c r="E12" i="55"/>
  <c r="E11" i="55"/>
  <c r="E10" i="55"/>
  <c r="E9" i="55"/>
  <c r="E8" i="55"/>
  <c r="E6" i="55"/>
  <c r="A4" i="55"/>
  <c r="A3" i="55"/>
  <c r="A29" i="53"/>
  <c r="F28" i="53"/>
  <c r="A28" i="53"/>
  <c r="H27" i="53"/>
  <c r="G27" i="53"/>
  <c r="F27" i="53"/>
  <c r="D27" i="53"/>
  <c r="H25" i="53"/>
  <c r="H24" i="53"/>
  <c r="H23" i="53"/>
  <c r="H22" i="53"/>
  <c r="H21" i="53"/>
  <c r="H20" i="53"/>
  <c r="H19" i="53"/>
  <c r="H18" i="53"/>
  <c r="H17" i="53"/>
  <c r="H16" i="53"/>
  <c r="H15" i="53"/>
  <c r="H14" i="53"/>
  <c r="H13" i="53"/>
  <c r="H12" i="53"/>
  <c r="H11" i="53"/>
  <c r="H10" i="53"/>
  <c r="H9" i="53"/>
  <c r="H8" i="53"/>
  <c r="H7" i="53"/>
  <c r="H6" i="53"/>
  <c r="A4" i="53"/>
  <c r="A3" i="53"/>
  <c r="A29" i="54"/>
  <c r="F28" i="54"/>
  <c r="A28" i="54"/>
  <c r="G27" i="54"/>
  <c r="F27" i="54"/>
  <c r="D27" i="54"/>
  <c r="A4" i="54"/>
  <c r="A3" i="54"/>
  <c r="A29" i="52"/>
  <c r="H28" i="52"/>
  <c r="A28" i="52"/>
  <c r="J27" i="52"/>
  <c r="H27" i="52"/>
  <c r="L27" i="52" s="1"/>
  <c r="F27" i="52"/>
  <c r="L25" i="52"/>
  <c r="L24" i="52"/>
  <c r="L23" i="52"/>
  <c r="L22" i="52"/>
  <c r="L21" i="52"/>
  <c r="L20" i="52"/>
  <c r="L19" i="52"/>
  <c r="L18" i="52"/>
  <c r="L17" i="52"/>
  <c r="L16" i="52"/>
  <c r="L15" i="52"/>
  <c r="L14" i="52"/>
  <c r="L13" i="52"/>
  <c r="L12" i="52"/>
  <c r="L11" i="52"/>
  <c r="L10" i="52"/>
  <c r="L9" i="52"/>
  <c r="L8" i="52"/>
  <c r="L7" i="52"/>
  <c r="L6" i="52"/>
  <c r="A4" i="52"/>
  <c r="A3" i="52"/>
  <c r="A29" i="133"/>
  <c r="F28" i="133"/>
  <c r="A28" i="133"/>
  <c r="D27" i="133"/>
  <c r="F26" i="133"/>
  <c r="I26" i="133" s="1"/>
  <c r="G25" i="133"/>
  <c r="F25" i="133"/>
  <c r="I25" i="133" s="1"/>
  <c r="D25" i="133"/>
  <c r="I24" i="133"/>
  <c r="I23" i="133"/>
  <c r="I22" i="133"/>
  <c r="I21" i="133"/>
  <c r="I20" i="133"/>
  <c r="I19" i="133"/>
  <c r="I18" i="133"/>
  <c r="I17" i="133"/>
  <c r="I16" i="133"/>
  <c r="I15" i="133"/>
  <c r="I14" i="133"/>
  <c r="I13" i="133"/>
  <c r="I12" i="133"/>
  <c r="I11" i="133"/>
  <c r="I10" i="133"/>
  <c r="I9" i="133"/>
  <c r="I8" i="133"/>
  <c r="I7" i="133"/>
  <c r="I6" i="133"/>
  <c r="A4" i="133"/>
  <c r="A3" i="133"/>
  <c r="A29" i="132"/>
  <c r="F28" i="132"/>
  <c r="A28" i="132"/>
  <c r="G27" i="132"/>
  <c r="F27" i="132"/>
  <c r="I27" i="132" s="1"/>
  <c r="D27" i="132"/>
  <c r="I25" i="132"/>
  <c r="I24" i="132"/>
  <c r="I23" i="132"/>
  <c r="I22" i="132"/>
  <c r="I21" i="132"/>
  <c r="I20" i="132"/>
  <c r="I19" i="132"/>
  <c r="I18" i="132"/>
  <c r="I17" i="132"/>
  <c r="I16" i="132"/>
  <c r="I15" i="132"/>
  <c r="I14" i="132"/>
  <c r="I13" i="132"/>
  <c r="I12" i="132"/>
  <c r="I11" i="132"/>
  <c r="I10" i="132"/>
  <c r="I9" i="132"/>
  <c r="I8" i="132"/>
  <c r="I7" i="132"/>
  <c r="I6" i="132"/>
  <c r="A4" i="132"/>
  <c r="A3" i="132"/>
  <c r="A29" i="50"/>
  <c r="H28" i="50"/>
  <c r="A28" i="50"/>
  <c r="J27" i="50"/>
  <c r="H27" i="50"/>
  <c r="L27" i="50" s="1"/>
  <c r="F27" i="50"/>
  <c r="L25" i="50"/>
  <c r="L24" i="50"/>
  <c r="L23" i="50"/>
  <c r="L22" i="50"/>
  <c r="L21" i="50"/>
  <c r="L20" i="50"/>
  <c r="L19" i="50"/>
  <c r="L18" i="50"/>
  <c r="L17" i="50"/>
  <c r="L16" i="50"/>
  <c r="L15" i="50"/>
  <c r="L14" i="50"/>
  <c r="L13" i="50"/>
  <c r="L12" i="50"/>
  <c r="L11" i="50"/>
  <c r="L10" i="50"/>
  <c r="L9" i="50"/>
  <c r="L8" i="50"/>
  <c r="L7" i="50"/>
  <c r="L6" i="50"/>
  <c r="A4" i="50"/>
  <c r="A3" i="50"/>
  <c r="A29" i="142"/>
  <c r="L28" i="142"/>
  <c r="M27" i="142"/>
  <c r="L27" i="142"/>
  <c r="D7" i="131" s="1"/>
  <c r="C7" i="131" s="1"/>
  <c r="J27" i="142"/>
  <c r="A4" i="142"/>
  <c r="A29" i="49"/>
  <c r="N28" i="49"/>
  <c r="A28" i="49"/>
  <c r="O27" i="49"/>
  <c r="E6" i="131" s="1"/>
  <c r="N27" i="49"/>
  <c r="Q27" i="49" s="1"/>
  <c r="L27" i="49"/>
  <c r="K27" i="49"/>
  <c r="Q25" i="49"/>
  <c r="Q24" i="49"/>
  <c r="Q23" i="49"/>
  <c r="Q22" i="49"/>
  <c r="Q21" i="49"/>
  <c r="Q20" i="49"/>
  <c r="Q19" i="49"/>
  <c r="Q18" i="49"/>
  <c r="Q17" i="49"/>
  <c r="Q16" i="49"/>
  <c r="Q15" i="49"/>
  <c r="Q14" i="49"/>
  <c r="Q13" i="49"/>
  <c r="Q12" i="49"/>
  <c r="Q11" i="49"/>
  <c r="Q10" i="49"/>
  <c r="Q9" i="49"/>
  <c r="Q8" i="49"/>
  <c r="Q7" i="49"/>
  <c r="Q6" i="49"/>
  <c r="A4" i="49"/>
  <c r="A3" i="49"/>
  <c r="A28" i="131"/>
  <c r="E27" i="131"/>
  <c r="A27" i="131"/>
  <c r="D25" i="131"/>
  <c r="G25" i="131" s="1"/>
  <c r="C8" i="131"/>
  <c r="E7" i="131" s="1"/>
  <c r="A4" i="131"/>
  <c r="A3" i="131"/>
  <c r="A29" i="130"/>
  <c r="M28" i="130"/>
  <c r="A28" i="130"/>
  <c r="N26" i="130"/>
  <c r="R26" i="130" s="1"/>
  <c r="O25" i="130"/>
  <c r="N25" i="130"/>
  <c r="N27" i="130" s="1"/>
  <c r="M25" i="130"/>
  <c r="J25" i="130"/>
  <c r="I25" i="130"/>
  <c r="I27" i="130" s="1"/>
  <c r="R24" i="130"/>
  <c r="Q24" i="130"/>
  <c r="R23" i="130"/>
  <c r="Q23" i="130"/>
  <c r="R22" i="130"/>
  <c r="Q22" i="130"/>
  <c r="R21" i="130"/>
  <c r="Q21" i="130"/>
  <c r="R20" i="130"/>
  <c r="Q20" i="130"/>
  <c r="R19" i="130"/>
  <c r="Q19" i="130"/>
  <c r="R18" i="130"/>
  <c r="Q18" i="130"/>
  <c r="R17" i="130"/>
  <c r="Q17" i="130"/>
  <c r="R16" i="130"/>
  <c r="Q16" i="130"/>
  <c r="R15" i="130"/>
  <c r="Q15" i="130"/>
  <c r="R14" i="130"/>
  <c r="Q14" i="130"/>
  <c r="R13" i="130"/>
  <c r="Q13" i="130"/>
  <c r="R12" i="130"/>
  <c r="Q12" i="130"/>
  <c r="R11" i="130"/>
  <c r="Q11" i="130"/>
  <c r="R10" i="130"/>
  <c r="Q10" i="130"/>
  <c r="R9" i="130"/>
  <c r="Q9" i="130"/>
  <c r="R8" i="130"/>
  <c r="Q8" i="130"/>
  <c r="R7" i="130"/>
  <c r="Q7" i="130"/>
  <c r="A4" i="130"/>
  <c r="A3" i="130"/>
  <c r="A29" i="129"/>
  <c r="L28" i="129"/>
  <c r="A28" i="129"/>
  <c r="M26" i="129"/>
  <c r="Q26" i="129" s="1"/>
  <c r="N25" i="129"/>
  <c r="M25" i="129"/>
  <c r="M27" i="129" s="1"/>
  <c r="L25" i="129"/>
  <c r="I25" i="129"/>
  <c r="I27" i="129" s="1"/>
  <c r="H25" i="129"/>
  <c r="Q24" i="129"/>
  <c r="P24" i="129"/>
  <c r="Q23" i="129"/>
  <c r="P23" i="129"/>
  <c r="Q22" i="129"/>
  <c r="P22" i="129"/>
  <c r="Q21" i="129"/>
  <c r="P21" i="129"/>
  <c r="Q20" i="129"/>
  <c r="P20" i="129"/>
  <c r="Q19" i="129"/>
  <c r="P19" i="129"/>
  <c r="Q18" i="129"/>
  <c r="P18" i="129"/>
  <c r="Q17" i="129"/>
  <c r="P17" i="129"/>
  <c r="Q16" i="129"/>
  <c r="P16" i="129"/>
  <c r="Q15" i="129"/>
  <c r="P15" i="129"/>
  <c r="Q14" i="129"/>
  <c r="P14" i="129"/>
  <c r="Q13" i="129"/>
  <c r="P13" i="129"/>
  <c r="Q12" i="129"/>
  <c r="P12" i="129"/>
  <c r="Q11" i="129"/>
  <c r="P11" i="129"/>
  <c r="Q10" i="129"/>
  <c r="P10" i="129"/>
  <c r="Q9" i="129"/>
  <c r="P9" i="129"/>
  <c r="Q8" i="129"/>
  <c r="P8" i="129"/>
  <c r="Q7" i="129"/>
  <c r="P7" i="129"/>
  <c r="P25" i="129" s="1"/>
  <c r="A4" i="129"/>
  <c r="A3" i="129"/>
  <c r="A29" i="47"/>
  <c r="F28" i="47"/>
  <c r="A28" i="47"/>
  <c r="G27" i="47"/>
  <c r="F27" i="47"/>
  <c r="D27" i="47"/>
  <c r="I6" i="47"/>
  <c r="H6" i="47"/>
  <c r="A4" i="47"/>
  <c r="A3" i="47"/>
  <c r="A29" i="44"/>
  <c r="K28" i="44"/>
  <c r="A28" i="44"/>
  <c r="K26" i="44"/>
  <c r="P26" i="44" s="1"/>
  <c r="P25" i="44"/>
  <c r="N25" i="44"/>
  <c r="K25" i="44"/>
  <c r="G25" i="44"/>
  <c r="P24" i="44"/>
  <c r="P23" i="44"/>
  <c r="P22" i="44"/>
  <c r="P21" i="44"/>
  <c r="P20" i="44"/>
  <c r="P19" i="44"/>
  <c r="P18" i="44"/>
  <c r="P17" i="44"/>
  <c r="P16" i="44"/>
  <c r="I16" i="44"/>
  <c r="P15" i="44"/>
  <c r="I15" i="44"/>
  <c r="P14" i="44"/>
  <c r="I14" i="44"/>
  <c r="P13" i="44"/>
  <c r="I13" i="44"/>
  <c r="P12" i="44"/>
  <c r="I12" i="44"/>
  <c r="P11" i="44"/>
  <c r="I11" i="44"/>
  <c r="P10" i="44"/>
  <c r="I10" i="44"/>
  <c r="P9" i="44"/>
  <c r="I9" i="44"/>
  <c r="P8" i="44"/>
  <c r="I8" i="44"/>
  <c r="P7" i="44"/>
  <c r="O7" i="44"/>
  <c r="I7" i="44"/>
  <c r="A4" i="44"/>
  <c r="A3" i="44"/>
  <c r="A29" i="46"/>
  <c r="P28" i="46"/>
  <c r="A28" i="46"/>
  <c r="V25" i="46"/>
  <c r="U25" i="46"/>
  <c r="V24" i="46"/>
  <c r="U24" i="46"/>
  <c r="V23" i="46"/>
  <c r="U23" i="46"/>
  <c r="V22" i="46"/>
  <c r="U22" i="46"/>
  <c r="V21" i="46"/>
  <c r="U21" i="46"/>
  <c r="Z20" i="46"/>
  <c r="AF20" i="46" s="1"/>
  <c r="O20" i="46"/>
  <c r="N20" i="46"/>
  <c r="M20" i="46"/>
  <c r="K20" i="46"/>
  <c r="Z19" i="46"/>
  <c r="AC19" i="46" s="1"/>
  <c r="O19" i="46"/>
  <c r="N19" i="46"/>
  <c r="M19" i="46"/>
  <c r="K19" i="46"/>
  <c r="Z18" i="46"/>
  <c r="AA18" i="46" s="1"/>
  <c r="O18" i="46"/>
  <c r="N18" i="46"/>
  <c r="M18" i="46"/>
  <c r="K18" i="46"/>
  <c r="Z17" i="46"/>
  <c r="O17" i="46"/>
  <c r="N17" i="46"/>
  <c r="M17" i="46"/>
  <c r="K17" i="46"/>
  <c r="Z16" i="46"/>
  <c r="AD16" i="46" s="1"/>
  <c r="O16" i="46"/>
  <c r="N16" i="46"/>
  <c r="M16" i="46"/>
  <c r="K16" i="46"/>
  <c r="Z15" i="46"/>
  <c r="AF15" i="46" s="1"/>
  <c r="O15" i="46"/>
  <c r="N15" i="46"/>
  <c r="M15" i="46"/>
  <c r="K15" i="46"/>
  <c r="Z14" i="46"/>
  <c r="AA14" i="46" s="1"/>
  <c r="O14" i="46"/>
  <c r="N14" i="46"/>
  <c r="M14" i="46"/>
  <c r="K14" i="46"/>
  <c r="Z13" i="46"/>
  <c r="O13" i="46"/>
  <c r="N13" i="46"/>
  <c r="M13" i="46"/>
  <c r="K13" i="46"/>
  <c r="AA12" i="46"/>
  <c r="Z12" i="46"/>
  <c r="AD12" i="46" s="1"/>
  <c r="O12" i="46"/>
  <c r="N12" i="46"/>
  <c r="M12" i="46"/>
  <c r="K12" i="46"/>
  <c r="Z11" i="46"/>
  <c r="AD11" i="46" s="1"/>
  <c r="O11" i="46"/>
  <c r="N11" i="46"/>
  <c r="M11" i="46"/>
  <c r="K11" i="46"/>
  <c r="Z10" i="46"/>
  <c r="AD10" i="46" s="1"/>
  <c r="O10" i="46"/>
  <c r="N10" i="46"/>
  <c r="M10" i="46"/>
  <c r="K10" i="46"/>
  <c r="Z9" i="46"/>
  <c r="AA9" i="46" s="1"/>
  <c r="O9" i="46"/>
  <c r="N9" i="46"/>
  <c r="M9" i="46"/>
  <c r="K9" i="46"/>
  <c r="AA8" i="46"/>
  <c r="Z8" i="46"/>
  <c r="AC8" i="46" s="1"/>
  <c r="O8" i="46"/>
  <c r="N8" i="46"/>
  <c r="M8" i="46"/>
  <c r="K8" i="46"/>
  <c r="Z7" i="46"/>
  <c r="O7" i="46"/>
  <c r="N7" i="46"/>
  <c r="M7" i="46"/>
  <c r="K7" i="46"/>
  <c r="A4" i="46"/>
  <c r="A3" i="46"/>
  <c r="A24" i="45"/>
  <c r="K23" i="45"/>
  <c r="A23" i="45"/>
  <c r="L22" i="45"/>
  <c r="E6" i="128" s="1"/>
  <c r="F6" i="128" s="1"/>
  <c r="K22" i="45"/>
  <c r="D6" i="128" s="1"/>
  <c r="I22" i="45"/>
  <c r="C6" i="128" s="1"/>
  <c r="N20" i="45"/>
  <c r="N19" i="45"/>
  <c r="N18" i="45"/>
  <c r="N17" i="45"/>
  <c r="N16" i="45"/>
  <c r="N15" i="45"/>
  <c r="N14" i="45"/>
  <c r="N13" i="45"/>
  <c r="N12" i="45"/>
  <c r="N11" i="45"/>
  <c r="N10" i="45"/>
  <c r="N9" i="45"/>
  <c r="N8" i="45"/>
  <c r="N7" i="45"/>
  <c r="N6" i="45"/>
  <c r="M6" i="45"/>
  <c r="A4" i="45"/>
  <c r="A3" i="45"/>
  <c r="A29" i="128"/>
  <c r="E28" i="128"/>
  <c r="A28" i="128"/>
  <c r="D26" i="128"/>
  <c r="G26" i="128" s="1"/>
  <c r="F26" i="128" s="1"/>
  <c r="A4" i="128"/>
  <c r="A3" i="128"/>
  <c r="A30" i="120"/>
  <c r="N29" i="120"/>
  <c r="A29" i="120"/>
  <c r="Q28" i="120"/>
  <c r="P28" i="120"/>
  <c r="O28" i="120"/>
  <c r="N28" i="120"/>
  <c r="K28" i="120"/>
  <c r="J28" i="120"/>
  <c r="R26" i="120"/>
  <c r="R25" i="120"/>
  <c r="R24" i="120"/>
  <c r="R23" i="120"/>
  <c r="R22" i="120"/>
  <c r="R21" i="120"/>
  <c r="R20" i="120"/>
  <c r="R19" i="120"/>
  <c r="R18" i="120"/>
  <c r="R17" i="120"/>
  <c r="R16" i="120"/>
  <c r="R15" i="120"/>
  <c r="R14" i="120"/>
  <c r="R13" i="120"/>
  <c r="R12" i="120"/>
  <c r="R11" i="120"/>
  <c r="R10" i="120"/>
  <c r="R9" i="120"/>
  <c r="R8" i="120"/>
  <c r="R7" i="120"/>
  <c r="A4" i="120"/>
  <c r="A3" i="120"/>
  <c r="A132" i="43"/>
  <c r="P131" i="43"/>
  <c r="A131" i="43"/>
  <c r="L130" i="43"/>
  <c r="K130" i="43"/>
  <c r="Y11" i="43"/>
  <c r="Z11" i="43" s="1"/>
  <c r="R11" i="43" s="1"/>
  <c r="U11" i="43"/>
  <c r="Q11" i="43"/>
  <c r="P11" i="43"/>
  <c r="I11" i="43"/>
  <c r="Z10" i="43"/>
  <c r="R10" i="43" s="1"/>
  <c r="Y10" i="43"/>
  <c r="U10" i="43"/>
  <c r="Q10" i="43"/>
  <c r="P10" i="43"/>
  <c r="I10" i="43"/>
  <c r="Y9" i="43"/>
  <c r="Z9" i="43" s="1"/>
  <c r="Q9" i="43"/>
  <c r="U9" i="43" s="1"/>
  <c r="P9" i="43"/>
  <c r="I9" i="43"/>
  <c r="Y8" i="43"/>
  <c r="Q8" i="43"/>
  <c r="U8" i="43" s="1"/>
  <c r="P8" i="43"/>
  <c r="I8" i="43"/>
  <c r="Y7" i="43"/>
  <c r="Q7" i="43"/>
  <c r="U7" i="43" s="1"/>
  <c r="P7" i="43"/>
  <c r="I7" i="43"/>
  <c r="AB5" i="43"/>
  <c r="AB7" i="43" s="1"/>
  <c r="A4" i="43"/>
  <c r="A3" i="43"/>
  <c r="A21" i="42"/>
  <c r="O20" i="42"/>
  <c r="A20" i="42"/>
  <c r="L19" i="42"/>
  <c r="K19" i="42"/>
  <c r="AH11" i="42"/>
  <c r="Y11" i="42"/>
  <c r="Z11" i="42" s="1"/>
  <c r="P11" i="42"/>
  <c r="O11" i="42"/>
  <c r="H11" i="42"/>
  <c r="AH10" i="42"/>
  <c r="Y10" i="42"/>
  <c r="P10" i="42"/>
  <c r="O10" i="42"/>
  <c r="H10" i="42"/>
  <c r="AH9" i="42"/>
  <c r="Y9" i="42"/>
  <c r="Z9" i="42" s="1"/>
  <c r="P9" i="42"/>
  <c r="T9" i="42" s="1"/>
  <c r="O9" i="42"/>
  <c r="H9" i="42"/>
  <c r="AH8" i="42"/>
  <c r="Y8" i="42"/>
  <c r="Z8" i="42" s="1"/>
  <c r="P8" i="42"/>
  <c r="O8" i="42"/>
  <c r="O19" i="42" s="1"/>
  <c r="H8" i="42"/>
  <c r="AH7" i="42"/>
  <c r="Y7" i="42"/>
  <c r="Z7" i="42" s="1"/>
  <c r="P7" i="42"/>
  <c r="T7" i="42" s="1"/>
  <c r="O7" i="42"/>
  <c r="H7" i="42"/>
  <c r="AE5" i="42"/>
  <c r="AE9" i="42" s="1"/>
  <c r="A4" i="42"/>
  <c r="A3" i="42"/>
  <c r="A512" i="41"/>
  <c r="P511" i="41"/>
  <c r="A511" i="41"/>
  <c r="L510" i="41"/>
  <c r="K510" i="41"/>
  <c r="AM55" i="41"/>
  <c r="AN55" i="41" s="1"/>
  <c r="AE55" i="41"/>
  <c r="AC55" i="41"/>
  <c r="Q55" i="41"/>
  <c r="P55" i="41"/>
  <c r="X55" i="41" s="1"/>
  <c r="AM54" i="41"/>
  <c r="AN54" i="41" s="1"/>
  <c r="AE54" i="41"/>
  <c r="AC54" i="41"/>
  <c r="Q54" i="41"/>
  <c r="P54" i="41"/>
  <c r="AM53" i="41"/>
  <c r="AN53" i="41" s="1"/>
  <c r="AE53" i="41"/>
  <c r="AC53" i="41"/>
  <c r="Q53" i="41"/>
  <c r="P53" i="41"/>
  <c r="X53" i="41" s="1"/>
  <c r="AM52" i="41"/>
  <c r="AE52" i="41"/>
  <c r="AC52" i="41"/>
  <c r="Q52" i="41"/>
  <c r="P52" i="41"/>
  <c r="X52" i="41" s="1"/>
  <c r="AM51" i="41"/>
  <c r="AN51" i="41" s="1"/>
  <c r="AE51" i="41"/>
  <c r="AC51" i="41"/>
  <c r="Q51" i="41"/>
  <c r="P51" i="41"/>
  <c r="AM50" i="41"/>
  <c r="AN50" i="41" s="1"/>
  <c r="AE50" i="41"/>
  <c r="AC50" i="41"/>
  <c r="Q50" i="41"/>
  <c r="P50" i="41"/>
  <c r="X50" i="41" s="1"/>
  <c r="AM49" i="41"/>
  <c r="AE49" i="41"/>
  <c r="AC49" i="41"/>
  <c r="Q49" i="41"/>
  <c r="P49" i="41"/>
  <c r="X49" i="41" s="1"/>
  <c r="AM48" i="41"/>
  <c r="AN48" i="41" s="1"/>
  <c r="AE48" i="41"/>
  <c r="AC48" i="41"/>
  <c r="Q48" i="41"/>
  <c r="P48" i="41"/>
  <c r="X48" i="41" s="1"/>
  <c r="AM47" i="41"/>
  <c r="AN47" i="41" s="1"/>
  <c r="AE47" i="41"/>
  <c r="AC47" i="41"/>
  <c r="Q47" i="41"/>
  <c r="P47" i="41"/>
  <c r="X47" i="41" s="1"/>
  <c r="AM46" i="41"/>
  <c r="AE46" i="41"/>
  <c r="AC46" i="41"/>
  <c r="Q46" i="41"/>
  <c r="P46" i="41"/>
  <c r="X46" i="41" s="1"/>
  <c r="AM45" i="41"/>
  <c r="AN45" i="41" s="1"/>
  <c r="AE45" i="41"/>
  <c r="AC45" i="41"/>
  <c r="Q45" i="41"/>
  <c r="P45" i="41"/>
  <c r="X45" i="41" s="1"/>
  <c r="AM44" i="41"/>
  <c r="AE44" i="41"/>
  <c r="AC44" i="41"/>
  <c r="Q44" i="41"/>
  <c r="P44" i="41"/>
  <c r="X44" i="41" s="1"/>
  <c r="AM43" i="41"/>
  <c r="AE43" i="41"/>
  <c r="AC43" i="41"/>
  <c r="Q43" i="41"/>
  <c r="V43" i="41" s="1"/>
  <c r="P43" i="41"/>
  <c r="X43" i="41" s="1"/>
  <c r="AM42" i="41"/>
  <c r="AN42" i="41" s="1"/>
  <c r="AE42" i="41"/>
  <c r="AC42" i="41"/>
  <c r="Q42" i="41"/>
  <c r="P42" i="41"/>
  <c r="X42" i="41" s="1"/>
  <c r="AM41" i="41"/>
  <c r="AN41" i="41" s="1"/>
  <c r="AE41" i="41"/>
  <c r="AC41" i="41"/>
  <c r="Q41" i="41"/>
  <c r="P41" i="41"/>
  <c r="X41" i="41" s="1"/>
  <c r="AM40" i="41"/>
  <c r="AN40" i="41" s="1"/>
  <c r="AE40" i="41"/>
  <c r="AC40" i="41"/>
  <c r="Q40" i="41"/>
  <c r="P40" i="41"/>
  <c r="X40" i="41" s="1"/>
  <c r="AM39" i="41"/>
  <c r="AN39" i="41" s="1"/>
  <c r="AE39" i="41"/>
  <c r="AC39" i="41"/>
  <c r="Q39" i="41"/>
  <c r="P39" i="41"/>
  <c r="X39" i="41" s="1"/>
  <c r="AM38" i="41"/>
  <c r="AN38" i="41" s="1"/>
  <c r="AE38" i="41"/>
  <c r="AC38" i="41"/>
  <c r="Q38" i="41"/>
  <c r="P38" i="41"/>
  <c r="X38" i="41" s="1"/>
  <c r="AM37" i="41"/>
  <c r="AN37" i="41" s="1"/>
  <c r="AE37" i="41"/>
  <c r="AC37" i="41"/>
  <c r="Q37" i="41"/>
  <c r="P37" i="41"/>
  <c r="X37" i="41" s="1"/>
  <c r="AM36" i="41"/>
  <c r="AN36" i="41" s="1"/>
  <c r="AE36" i="41"/>
  <c r="AC36" i="41"/>
  <c r="Q36" i="41"/>
  <c r="P36" i="41"/>
  <c r="X36" i="41" s="1"/>
  <c r="AM35" i="41"/>
  <c r="AN35" i="41" s="1"/>
  <c r="AE35" i="41"/>
  <c r="AC35" i="41"/>
  <c r="Q35" i="41"/>
  <c r="V35" i="41" s="1"/>
  <c r="P35" i="41"/>
  <c r="X35" i="41" s="1"/>
  <c r="AM34" i="41"/>
  <c r="AE34" i="41"/>
  <c r="AC34" i="41"/>
  <c r="Q34" i="41"/>
  <c r="V34" i="41" s="1"/>
  <c r="P34" i="41"/>
  <c r="X34" i="41" s="1"/>
  <c r="AM33" i="41"/>
  <c r="AE33" i="41"/>
  <c r="AC33" i="41"/>
  <c r="Q33" i="41"/>
  <c r="P33" i="41"/>
  <c r="X33" i="41" s="1"/>
  <c r="AM32" i="41"/>
  <c r="AE32" i="41"/>
  <c r="AC32" i="41"/>
  <c r="Q32" i="41"/>
  <c r="V32" i="41" s="1"/>
  <c r="P32" i="41"/>
  <c r="X32" i="41" s="1"/>
  <c r="AM31" i="41"/>
  <c r="AE31" i="41"/>
  <c r="AC31" i="41"/>
  <c r="Q31" i="41"/>
  <c r="P31" i="41"/>
  <c r="X31" i="41" s="1"/>
  <c r="AM30" i="41"/>
  <c r="AE30" i="41"/>
  <c r="AC30" i="41"/>
  <c r="Q30" i="41"/>
  <c r="P30" i="41"/>
  <c r="X30" i="41" s="1"/>
  <c r="AM29" i="41"/>
  <c r="AE29" i="41"/>
  <c r="AC29" i="41"/>
  <c r="Q29" i="41"/>
  <c r="V29" i="41" s="1"/>
  <c r="P29" i="41"/>
  <c r="X29" i="41" s="1"/>
  <c r="AM28" i="41"/>
  <c r="AE28" i="41"/>
  <c r="AC28" i="41"/>
  <c r="Q28" i="41"/>
  <c r="V28" i="41" s="1"/>
  <c r="P28" i="41"/>
  <c r="X28" i="41" s="1"/>
  <c r="AM27" i="41"/>
  <c r="AE27" i="41"/>
  <c r="AC27" i="41"/>
  <c r="Q27" i="41"/>
  <c r="P27" i="41"/>
  <c r="X27" i="41" s="1"/>
  <c r="AM26" i="41"/>
  <c r="AE26" i="41"/>
  <c r="AC26" i="41"/>
  <c r="Q26" i="41"/>
  <c r="P26" i="41"/>
  <c r="X26" i="41" s="1"/>
  <c r="AM25" i="41"/>
  <c r="AE25" i="41"/>
  <c r="AC25" i="41"/>
  <c r="Q25" i="41"/>
  <c r="V25" i="41" s="1"/>
  <c r="P25" i="41"/>
  <c r="X25" i="41" s="1"/>
  <c r="AM24" i="41"/>
  <c r="AE24" i="41"/>
  <c r="AC24" i="41"/>
  <c r="Q24" i="41"/>
  <c r="V24" i="41" s="1"/>
  <c r="P24" i="41"/>
  <c r="X24" i="41" s="1"/>
  <c r="AM23" i="41"/>
  <c r="AE23" i="41"/>
  <c r="AC23" i="41"/>
  <c r="Q23" i="41"/>
  <c r="P23" i="41"/>
  <c r="X23" i="41" s="1"/>
  <c r="AM22" i="41"/>
  <c r="AE22" i="41"/>
  <c r="AC22" i="41"/>
  <c r="Q22" i="41"/>
  <c r="P22" i="41"/>
  <c r="X22" i="41" s="1"/>
  <c r="AM21" i="41"/>
  <c r="AE21" i="41"/>
  <c r="AC21" i="41"/>
  <c r="Q21" i="41"/>
  <c r="V21" i="41" s="1"/>
  <c r="P21" i="41"/>
  <c r="X21" i="41" s="1"/>
  <c r="AM20" i="41"/>
  <c r="AE20" i="41"/>
  <c r="AC20" i="41"/>
  <c r="Q20" i="41"/>
  <c r="V20" i="41" s="1"/>
  <c r="P20" i="41"/>
  <c r="X20" i="41" s="1"/>
  <c r="AM19" i="41"/>
  <c r="AE19" i="41"/>
  <c r="AC19" i="41"/>
  <c r="Q19" i="41"/>
  <c r="P19" i="41"/>
  <c r="X19" i="41" s="1"/>
  <c r="AM18" i="41"/>
  <c r="AE18" i="41"/>
  <c r="AC18" i="41"/>
  <c r="Q18" i="41"/>
  <c r="V18" i="41" s="1"/>
  <c r="P18" i="41"/>
  <c r="X18" i="41" s="1"/>
  <c r="AM17" i="41"/>
  <c r="AE17" i="41"/>
  <c r="AC17" i="41"/>
  <c r="Q17" i="41"/>
  <c r="V17" i="41" s="1"/>
  <c r="P17" i="41"/>
  <c r="X17" i="41" s="1"/>
  <c r="AM16" i="41"/>
  <c r="AE16" i="41"/>
  <c r="AC16" i="41"/>
  <c r="Q16" i="41"/>
  <c r="P16" i="41"/>
  <c r="X16" i="41" s="1"/>
  <c r="AM15" i="41"/>
  <c r="AN15" i="41" s="1"/>
  <c r="AE15" i="41"/>
  <c r="AC15" i="41"/>
  <c r="Q15" i="41"/>
  <c r="P15" i="41"/>
  <c r="X15" i="41" s="1"/>
  <c r="AM14" i="41"/>
  <c r="AN14" i="41" s="1"/>
  <c r="AE14" i="41"/>
  <c r="AC14" i="41"/>
  <c r="Q14" i="41"/>
  <c r="P14" i="41"/>
  <c r="AM13" i="41"/>
  <c r="AN13" i="41" s="1"/>
  <c r="AE13" i="41"/>
  <c r="AC13" i="41"/>
  <c r="Q13" i="41"/>
  <c r="P13" i="41"/>
  <c r="X13" i="41" s="1"/>
  <c r="AM12" i="41"/>
  <c r="AN12" i="41" s="1"/>
  <c r="AE12" i="41"/>
  <c r="AC12" i="41"/>
  <c r="Q12" i="41"/>
  <c r="P12" i="41"/>
  <c r="X12" i="41" s="1"/>
  <c r="AM11" i="41"/>
  <c r="AE11" i="41"/>
  <c r="AC11" i="41"/>
  <c r="Q11" i="41"/>
  <c r="P11" i="41"/>
  <c r="X11" i="41" s="1"/>
  <c r="AM10" i="41"/>
  <c r="AE10" i="41"/>
  <c r="AC10" i="41"/>
  <c r="Q10" i="41"/>
  <c r="P10" i="41"/>
  <c r="X10" i="41" s="1"/>
  <c r="AM9" i="41"/>
  <c r="AE9" i="41"/>
  <c r="AC9" i="41"/>
  <c r="Q9" i="41"/>
  <c r="P9" i="41"/>
  <c r="X9" i="41" s="1"/>
  <c r="AM8" i="41"/>
  <c r="AN8" i="41" s="1"/>
  <c r="AE8" i="41"/>
  <c r="AC8" i="41"/>
  <c r="Q8" i="41"/>
  <c r="P8" i="41"/>
  <c r="AM7" i="41"/>
  <c r="AN7" i="41" s="1"/>
  <c r="AE7" i="41"/>
  <c r="AC7" i="41"/>
  <c r="Q7" i="41"/>
  <c r="P7" i="41"/>
  <c r="A4" i="41"/>
  <c r="A3" i="41"/>
  <c r="AY24" i="144"/>
  <c r="AW24" i="144"/>
  <c r="AV24" i="144"/>
  <c r="AZ24" i="144" s="1"/>
  <c r="AU24" i="144"/>
  <c r="AR24" i="144"/>
  <c r="AQ24" i="144"/>
  <c r="AI24" i="144"/>
  <c r="A4" i="144"/>
  <c r="A19" i="40"/>
  <c r="P18" i="40"/>
  <c r="A18" i="40"/>
  <c r="R17" i="40"/>
  <c r="L17" i="40"/>
  <c r="K17" i="40"/>
  <c r="AM11" i="40"/>
  <c r="AJ11" i="40" s="1"/>
  <c r="AL11" i="40" s="1"/>
  <c r="AF11" i="40"/>
  <c r="AB11" i="40"/>
  <c r="Y11" i="40"/>
  <c r="T11" i="40"/>
  <c r="Q11" i="40"/>
  <c r="U11" i="40" s="1"/>
  <c r="P11" i="40"/>
  <c r="AM10" i="40"/>
  <c r="AF10" i="40"/>
  <c r="AB10" i="40"/>
  <c r="Y10" i="40"/>
  <c r="U10" i="40" s="1"/>
  <c r="T10" i="40"/>
  <c r="Q10" i="40"/>
  <c r="P10" i="40"/>
  <c r="AM9" i="40"/>
  <c r="AJ9" i="40" s="1"/>
  <c r="AL9" i="40" s="1"/>
  <c r="AF9" i="40"/>
  <c r="AB9" i="40"/>
  <c r="Y9" i="40"/>
  <c r="T9" i="40"/>
  <c r="Q9" i="40"/>
  <c r="U9" i="40" s="1"/>
  <c r="P9" i="40"/>
  <c r="AM8" i="40"/>
  <c r="AF8" i="40"/>
  <c r="AB8" i="40"/>
  <c r="Y8" i="40"/>
  <c r="T8" i="40"/>
  <c r="Q8" i="40"/>
  <c r="P8" i="40"/>
  <c r="AM7" i="40"/>
  <c r="AJ7" i="40" s="1"/>
  <c r="AL7" i="40" s="1"/>
  <c r="AF7" i="40"/>
  <c r="AB7" i="40"/>
  <c r="Y7" i="40"/>
  <c r="T7" i="40"/>
  <c r="Q7" i="40"/>
  <c r="P7" i="40"/>
  <c r="AM5" i="40"/>
  <c r="AG4" i="40"/>
  <c r="A4" i="40"/>
  <c r="AG3" i="40"/>
  <c r="A3" i="40"/>
  <c r="A149" i="39"/>
  <c r="Q148" i="39"/>
  <c r="A148" i="39"/>
  <c r="M147" i="39"/>
  <c r="L147" i="39"/>
  <c r="A4" i="39"/>
  <c r="A3" i="39"/>
  <c r="A45" i="38"/>
  <c r="AA44" i="38"/>
  <c r="A44" i="38"/>
  <c r="AB7" i="42" l="1"/>
  <c r="AC7" i="42" s="1"/>
  <c r="AB8" i="42"/>
  <c r="AC8" i="42" s="1"/>
  <c r="AB9" i="42"/>
  <c r="P8" i="46"/>
  <c r="AC15" i="46"/>
  <c r="AC16" i="46"/>
  <c r="AC18" i="46"/>
  <c r="P19" i="42"/>
  <c r="T19" i="42" s="1"/>
  <c r="T10" i="42"/>
  <c r="P14" i="46"/>
  <c r="AD15" i="46"/>
  <c r="AD18" i="46"/>
  <c r="L7" i="44"/>
  <c r="C9" i="70"/>
  <c r="D8" i="70"/>
  <c r="G8" i="70" s="1"/>
  <c r="Q17" i="40"/>
  <c r="P7" i="46"/>
  <c r="V7" i="46" s="1"/>
  <c r="AA10" i="46"/>
  <c r="AA15" i="46"/>
  <c r="AA16" i="46"/>
  <c r="AA19" i="46"/>
  <c r="Q19" i="46" s="1"/>
  <c r="F25" i="131"/>
  <c r="F13" i="55"/>
  <c r="X100" i="41"/>
  <c r="X143" i="41"/>
  <c r="X89" i="41"/>
  <c r="X7" i="41"/>
  <c r="X51" i="41"/>
  <c r="X378" i="41"/>
  <c r="X160" i="41"/>
  <c r="X144" i="41"/>
  <c r="X132" i="41"/>
  <c r="X105" i="41"/>
  <c r="X101" i="41"/>
  <c r="X385" i="41"/>
  <c r="X8" i="41"/>
  <c r="X14" i="41"/>
  <c r="X54" i="41"/>
  <c r="X388" i="41"/>
  <c r="X272" i="41"/>
  <c r="X106" i="41"/>
  <c r="P13" i="46"/>
  <c r="V13" i="46" s="1"/>
  <c r="AD20" i="46"/>
  <c r="D17" i="55"/>
  <c r="G17" i="55" s="1"/>
  <c r="AC9" i="42"/>
  <c r="AB10" i="42"/>
  <c r="AC11" i="46"/>
  <c r="P16" i="46"/>
  <c r="V16" i="46" s="1"/>
  <c r="U16" i="46" s="1"/>
  <c r="P19" i="46"/>
  <c r="V19" i="46" s="1"/>
  <c r="U19" i="46" s="1"/>
  <c r="AC20" i="46"/>
  <c r="F12" i="55"/>
  <c r="U8" i="40"/>
  <c r="Z10" i="42"/>
  <c r="AA11" i="46"/>
  <c r="AC12" i="46"/>
  <c r="AA20" i="46"/>
  <c r="Q20" i="46" s="1"/>
  <c r="P20" i="46" s="1"/>
  <c r="U20" i="46" s="1"/>
  <c r="H27" i="129"/>
  <c r="Q25" i="130"/>
  <c r="D11" i="55"/>
  <c r="G11" i="55" s="1"/>
  <c r="F14" i="55"/>
  <c r="G10" i="70"/>
  <c r="F10" i="70" s="1"/>
  <c r="F6" i="55"/>
  <c r="G11" i="70"/>
  <c r="F9" i="70"/>
  <c r="L27" i="129"/>
  <c r="Q27" i="129"/>
  <c r="P27" i="129" s="1"/>
  <c r="N27" i="129" s="1"/>
  <c r="AC10" i="46"/>
  <c r="C6" i="70"/>
  <c r="C28" i="70" s="1"/>
  <c r="G6" i="70"/>
  <c r="C8" i="55"/>
  <c r="G8" i="55"/>
  <c r="P17" i="40"/>
  <c r="U17" i="40"/>
  <c r="T17" i="40" s="1"/>
  <c r="U8" i="46"/>
  <c r="V8" i="46"/>
  <c r="U14" i="46"/>
  <c r="V14" i="46"/>
  <c r="M27" i="130"/>
  <c r="J27" i="130" s="1"/>
  <c r="R27" i="130"/>
  <c r="Q27" i="130" s="1"/>
  <c r="O27" i="130" s="1"/>
  <c r="P130" i="43"/>
  <c r="AF7" i="46"/>
  <c r="AF17" i="46"/>
  <c r="AD7" i="46"/>
  <c r="AF19" i="46"/>
  <c r="F8" i="55"/>
  <c r="N22" i="45"/>
  <c r="U7" i="46"/>
  <c r="AC7" i="46"/>
  <c r="AD8" i="46"/>
  <c r="AD9" i="46"/>
  <c r="AF10" i="46"/>
  <c r="AF12" i="46"/>
  <c r="AC13" i="46"/>
  <c r="AD14" i="46"/>
  <c r="AF16" i="46"/>
  <c r="AG16" i="46" s="1"/>
  <c r="AC17" i="46"/>
  <c r="AD19" i="46"/>
  <c r="AG20" i="46"/>
  <c r="AH20" i="46" s="1"/>
  <c r="K27" i="44"/>
  <c r="R25" i="130"/>
  <c r="AF13" i="46"/>
  <c r="Q130" i="43"/>
  <c r="U130" i="43" s="1"/>
  <c r="AF9" i="46"/>
  <c r="AD13" i="46"/>
  <c r="AF14" i="46"/>
  <c r="AD17" i="46"/>
  <c r="U7" i="40"/>
  <c r="T8" i="42"/>
  <c r="T11" i="42"/>
  <c r="R28" i="120"/>
  <c r="AA7" i="46"/>
  <c r="AA13" i="46"/>
  <c r="AC14" i="46"/>
  <c r="AA17" i="46"/>
  <c r="AF18" i="46"/>
  <c r="AG18" i="46" s="1"/>
  <c r="AH18" i="46" s="1"/>
  <c r="Q25" i="129"/>
  <c r="D6" i="131"/>
  <c r="C6" i="131" s="1"/>
  <c r="C24" i="131" s="1"/>
  <c r="D9" i="55"/>
  <c r="F10" i="55"/>
  <c r="F7" i="70"/>
  <c r="F8" i="70"/>
  <c r="AN446" i="41"/>
  <c r="AO446" i="41" s="1"/>
  <c r="AP446" i="41" s="1"/>
  <c r="S446" i="41" s="1"/>
  <c r="AN442" i="41"/>
  <c r="AO442" i="41" s="1"/>
  <c r="AP442" i="41" s="1"/>
  <c r="S442" i="41" s="1"/>
  <c r="AN436" i="41"/>
  <c r="AO436" i="41" s="1"/>
  <c r="AP436" i="41" s="1"/>
  <c r="S436" i="41" s="1"/>
  <c r="AN432" i="41"/>
  <c r="AO432" i="41" s="1"/>
  <c r="AP432" i="41" s="1"/>
  <c r="S432" i="41" s="1"/>
  <c r="AN430" i="41"/>
  <c r="AO430" i="41" s="1"/>
  <c r="AP430" i="41" s="1"/>
  <c r="S430" i="41" s="1"/>
  <c r="AN447" i="41"/>
  <c r="AO447" i="41" s="1"/>
  <c r="AP447" i="41" s="1"/>
  <c r="S447" i="41" s="1"/>
  <c r="AN445" i="41"/>
  <c r="AO445" i="41" s="1"/>
  <c r="AP445" i="41" s="1"/>
  <c r="S445" i="41" s="1"/>
  <c r="AN443" i="41"/>
  <c r="AO443" i="41" s="1"/>
  <c r="AP443" i="41" s="1"/>
  <c r="S443" i="41" s="1"/>
  <c r="AN441" i="41"/>
  <c r="AO441" i="41" s="1"/>
  <c r="AP441" i="41" s="1"/>
  <c r="S441" i="41" s="1"/>
  <c r="AN437" i="41"/>
  <c r="AO437" i="41" s="1"/>
  <c r="S437" i="41" s="1"/>
  <c r="AN433" i="41"/>
  <c r="AO433" i="41" s="1"/>
  <c r="AP433" i="41" s="1"/>
  <c r="S433" i="41" s="1"/>
  <c r="AN444" i="41"/>
  <c r="AO444" i="41" s="1"/>
  <c r="AP444" i="41" s="1"/>
  <c r="S444" i="41" s="1"/>
  <c r="AO211" i="41"/>
  <c r="AO287" i="41"/>
  <c r="AO281" i="41"/>
  <c r="AO279" i="41"/>
  <c r="AO269" i="41"/>
  <c r="AO263" i="41"/>
  <c r="AO250" i="41"/>
  <c r="AO209" i="41"/>
  <c r="AO159" i="41"/>
  <c r="AO157" i="41"/>
  <c r="AO153" i="41"/>
  <c r="AO149" i="41"/>
  <c r="AO147" i="41"/>
  <c r="AO145" i="41"/>
  <c r="AN143" i="41"/>
  <c r="AO143" i="41" s="1"/>
  <c r="S143" i="41" s="1"/>
  <c r="AN132" i="41"/>
  <c r="AO132" i="41" s="1"/>
  <c r="S132" i="41" s="1"/>
  <c r="AN108" i="41"/>
  <c r="AO108" i="41" s="1"/>
  <c r="AP108" i="41" s="1"/>
  <c r="S108" i="41" s="1"/>
  <c r="AN106" i="41"/>
  <c r="AO106" i="41" s="1"/>
  <c r="S106" i="41" s="1"/>
  <c r="AN101" i="41"/>
  <c r="AO101" i="41" s="1"/>
  <c r="S101" i="41" s="1"/>
  <c r="AN98" i="41"/>
  <c r="AO98" i="41" s="1"/>
  <c r="AP98" i="41" s="1"/>
  <c r="S98" i="41" s="1"/>
  <c r="AN88" i="41"/>
  <c r="AO88" i="41" s="1"/>
  <c r="AP88" i="41" s="1"/>
  <c r="S88" i="41" s="1"/>
  <c r="AN86" i="41"/>
  <c r="AO86" i="41" s="1"/>
  <c r="AP86" i="41" s="1"/>
  <c r="S86" i="41" s="1"/>
  <c r="AN84" i="41"/>
  <c r="AO84" i="41" s="1"/>
  <c r="AP84" i="41" s="1"/>
  <c r="S84" i="41" s="1"/>
  <c r="AN82" i="41"/>
  <c r="AO82" i="41" s="1"/>
  <c r="AP82" i="41" s="1"/>
  <c r="S82" i="41" s="1"/>
  <c r="AN72" i="41"/>
  <c r="AO72" i="41" s="1"/>
  <c r="AP72" i="41" s="1"/>
  <c r="S72" i="41" s="1"/>
  <c r="AN388" i="41"/>
  <c r="AO388" i="41" s="1"/>
  <c r="S388" i="41" s="1"/>
  <c r="AO380" i="41"/>
  <c r="AO369" i="41"/>
  <c r="AO359" i="41"/>
  <c r="AN56" i="41"/>
  <c r="AO56" i="41" s="1"/>
  <c r="AP56" i="41" s="1"/>
  <c r="S56" i="41" s="1"/>
  <c r="AO347" i="41"/>
  <c r="AO345" i="41"/>
  <c r="AO343" i="41"/>
  <c r="AO306" i="41"/>
  <c r="AN296" i="41"/>
  <c r="AO296" i="41" s="1"/>
  <c r="AP296" i="41" s="1"/>
  <c r="S296" i="41" s="1"/>
  <c r="AO282" i="41"/>
  <c r="AO280" i="41"/>
  <c r="AO278" i="41"/>
  <c r="AN272" i="41"/>
  <c r="AO272" i="41" s="1"/>
  <c r="S272" i="41" s="1"/>
  <c r="AO262" i="41"/>
  <c r="AO210" i="41"/>
  <c r="AO160" i="41"/>
  <c r="AO152" i="41"/>
  <c r="AO150" i="41"/>
  <c r="AO148" i="41"/>
  <c r="AO144" i="41"/>
  <c r="AN134" i="41"/>
  <c r="AO134" i="41" s="1"/>
  <c r="AP134" i="41" s="1"/>
  <c r="S134" i="41" s="1"/>
  <c r="AN131" i="41"/>
  <c r="AO131" i="41" s="1"/>
  <c r="AP131" i="41" s="1"/>
  <c r="S131" i="41" s="1"/>
  <c r="AN129" i="41"/>
  <c r="AO129" i="41" s="1"/>
  <c r="AP129" i="41" s="1"/>
  <c r="S129" i="41" s="1"/>
  <c r="AN105" i="41"/>
  <c r="AO105" i="41" s="1"/>
  <c r="S105" i="41" s="1"/>
  <c r="AN97" i="41"/>
  <c r="AO97" i="41" s="1"/>
  <c r="AP97" i="41" s="1"/>
  <c r="S97" i="41" s="1"/>
  <c r="AN89" i="41"/>
  <c r="AO89" i="41" s="1"/>
  <c r="S89" i="41" s="1"/>
  <c r="AN73" i="41"/>
  <c r="AO73" i="41" s="1"/>
  <c r="AP73" i="41" s="1"/>
  <c r="S73" i="41" s="1"/>
  <c r="AO387" i="41"/>
  <c r="AN385" i="41"/>
  <c r="AO385" i="41" s="1"/>
  <c r="S385" i="41" s="1"/>
  <c r="AO379" i="41"/>
  <c r="AO378" i="41"/>
  <c r="S378" i="41" s="1"/>
  <c r="AO370" i="41"/>
  <c r="AO366" i="41"/>
  <c r="AO360" i="41"/>
  <c r="AO358" i="41"/>
  <c r="AO362" i="41"/>
  <c r="Z7" i="43"/>
  <c r="AG53" i="41"/>
  <c r="AF492" i="41"/>
  <c r="AH492" i="41" s="1"/>
  <c r="AI492" i="41" s="1"/>
  <c r="AG484" i="41"/>
  <c r="AG482" i="41"/>
  <c r="AF440" i="41"/>
  <c r="AH440" i="41" s="1"/>
  <c r="AI440" i="41" s="1"/>
  <c r="AF438" i="41"/>
  <c r="AH438" i="41" s="1"/>
  <c r="AI438" i="41" s="1"/>
  <c r="AF436" i="41"/>
  <c r="AH436" i="41" s="1"/>
  <c r="AI436" i="41" s="1"/>
  <c r="AG432" i="41"/>
  <c r="AF428" i="41"/>
  <c r="AH428" i="41" s="1"/>
  <c r="AI428" i="41" s="1"/>
  <c r="AG424" i="41"/>
  <c r="AG386" i="41"/>
  <c r="AF384" i="41"/>
  <c r="AH384" i="41" s="1"/>
  <c r="AI384" i="41" s="1"/>
  <c r="AG377" i="41"/>
  <c r="AF294" i="41"/>
  <c r="AH294" i="41" s="1"/>
  <c r="AI294" i="41" s="1"/>
  <c r="AF286" i="41"/>
  <c r="AH286" i="41" s="1"/>
  <c r="AI286" i="41" s="1"/>
  <c r="AG270" i="41"/>
  <c r="AF266" i="41"/>
  <c r="AH266" i="41" s="1"/>
  <c r="AI266" i="41" s="1"/>
  <c r="AG262" i="41"/>
  <c r="AF258" i="41"/>
  <c r="AH258" i="41" s="1"/>
  <c r="AI258" i="41" s="1"/>
  <c r="AG256" i="41"/>
  <c r="AG247" i="41"/>
  <c r="AF245" i="41"/>
  <c r="AH245" i="41" s="1"/>
  <c r="AI245" i="41" s="1"/>
  <c r="AF243" i="41"/>
  <c r="AH243" i="41" s="1"/>
  <c r="AI243" i="41" s="1"/>
  <c r="AF239" i="41"/>
  <c r="AH239" i="41" s="1"/>
  <c r="AI239" i="41" s="1"/>
  <c r="AG138" i="41"/>
  <c r="AG134" i="41"/>
  <c r="AG113" i="41"/>
  <c r="AG111" i="41"/>
  <c r="AG85" i="41"/>
  <c r="AG83" i="41"/>
  <c r="AG81" i="41"/>
  <c r="AG77" i="41"/>
  <c r="AG61" i="41"/>
  <c r="AG59" i="41"/>
  <c r="AG57" i="41"/>
  <c r="AG481" i="41"/>
  <c r="AG401" i="41"/>
  <c r="AG397" i="41"/>
  <c r="AG393" i="41"/>
  <c r="AG391" i="41"/>
  <c r="AF377" i="41"/>
  <c r="AH377" i="41" s="1"/>
  <c r="AI377" i="41" s="1"/>
  <c r="AG313" i="41"/>
  <c r="AG294" i="41"/>
  <c r="AF10" i="41"/>
  <c r="AG14" i="41"/>
  <c r="AF18" i="41"/>
  <c r="AG463" i="41"/>
  <c r="AG455" i="41"/>
  <c r="AG375" i="41"/>
  <c r="AF373" i="41"/>
  <c r="AH373" i="41" s="1"/>
  <c r="AI373" i="41" s="1"/>
  <c r="AF367" i="41"/>
  <c r="AH367" i="41" s="1"/>
  <c r="AI367" i="41" s="1"/>
  <c r="AG365" i="41"/>
  <c r="AF361" i="41"/>
  <c r="AH361" i="41" s="1"/>
  <c r="AI361" i="41" s="1"/>
  <c r="AG353" i="41"/>
  <c r="AF351" i="41"/>
  <c r="AH351" i="41" s="1"/>
  <c r="AI351" i="41" s="1"/>
  <c r="AF349" i="41"/>
  <c r="AH349" i="41" s="1"/>
  <c r="AI349" i="41" s="1"/>
  <c r="AF347" i="41"/>
  <c r="AH347" i="41" s="1"/>
  <c r="AI347" i="41" s="1"/>
  <c r="AF341" i="41"/>
  <c r="AH341" i="41" s="1"/>
  <c r="AI341" i="41" s="1"/>
  <c r="AG329" i="41"/>
  <c r="AF325" i="41"/>
  <c r="AH325" i="41" s="1"/>
  <c r="AI325" i="41" s="1"/>
  <c r="AG227" i="41"/>
  <c r="AF172" i="41"/>
  <c r="AH172" i="41" s="1"/>
  <c r="AI172" i="41" s="1"/>
  <c r="AF166" i="41"/>
  <c r="AH166" i="41" s="1"/>
  <c r="AI166" i="41" s="1"/>
  <c r="AF35" i="41"/>
  <c r="AF216" i="41"/>
  <c r="AH216" i="41" s="1"/>
  <c r="AI216" i="41" s="1"/>
  <c r="AF205" i="41"/>
  <c r="AG197" i="41"/>
  <c r="AG193" i="41"/>
  <c r="AF189" i="41"/>
  <c r="AH189" i="41" s="1"/>
  <c r="AI189" i="41" s="1"/>
  <c r="AG165" i="41"/>
  <c r="AG163" i="41"/>
  <c r="AG161" i="41"/>
  <c r="AG143" i="41"/>
  <c r="AG141" i="41"/>
  <c r="AG139" i="41"/>
  <c r="AG78" i="41"/>
  <c r="AG76" i="41"/>
  <c r="AF70" i="41"/>
  <c r="AH70" i="41" s="1"/>
  <c r="AI70" i="41" s="1"/>
  <c r="AG66" i="41"/>
  <c r="AG62" i="41"/>
  <c r="AF36" i="41"/>
  <c r="AH36" i="41" s="1"/>
  <c r="AI36" i="41" s="1"/>
  <c r="AG319" i="41"/>
  <c r="AG505" i="41"/>
  <c r="AG491" i="41"/>
  <c r="AG489" i="41"/>
  <c r="AG487" i="41"/>
  <c r="AG483" i="41"/>
  <c r="AG474" i="41"/>
  <c r="AG472" i="41"/>
  <c r="AG466" i="41"/>
  <c r="AG464" i="41"/>
  <c r="AG458" i="41"/>
  <c r="AG447" i="41"/>
  <c r="AG445" i="41"/>
  <c r="AG443" i="41"/>
  <c r="AG406" i="41"/>
  <c r="AF392" i="41"/>
  <c r="AH392" i="41" s="1"/>
  <c r="AI392" i="41" s="1"/>
  <c r="AF300" i="41"/>
  <c r="AH300" i="41" s="1"/>
  <c r="AI300" i="41" s="1"/>
  <c r="AG296" i="41"/>
  <c r="AG289" i="41"/>
  <c r="AF227" i="41"/>
  <c r="AH227" i="41" s="1"/>
  <c r="AI227" i="41" s="1"/>
  <c r="AF223" i="41"/>
  <c r="AH223" i="41" s="1"/>
  <c r="AI223" i="41" s="1"/>
  <c r="AF190" i="41"/>
  <c r="AH190" i="41" s="1"/>
  <c r="AI190" i="41" s="1"/>
  <c r="AF180" i="41"/>
  <c r="AH180" i="41" s="1"/>
  <c r="AI180" i="41" s="1"/>
  <c r="AG160" i="41"/>
  <c r="AF156" i="41"/>
  <c r="AH156" i="41" s="1"/>
  <c r="AI156" i="41" s="1"/>
  <c r="AF150" i="41"/>
  <c r="AH150" i="41" s="1"/>
  <c r="AI150" i="41" s="1"/>
  <c r="AG146" i="41"/>
  <c r="AG124" i="41"/>
  <c r="AG120" i="41"/>
  <c r="AF86" i="41"/>
  <c r="AH86" i="41" s="1"/>
  <c r="AI86" i="41" s="1"/>
  <c r="AG233" i="41"/>
  <c r="AF500" i="41"/>
  <c r="AH500" i="41" s="1"/>
  <c r="AI500" i="41" s="1"/>
  <c r="AG479" i="41"/>
  <c r="AG423" i="41"/>
  <c r="AG419" i="41"/>
  <c r="AG280" i="41"/>
  <c r="AG145" i="41"/>
  <c r="AG119" i="41"/>
  <c r="AF56" i="41"/>
  <c r="AH56" i="41" s="1"/>
  <c r="AI56" i="41" s="1"/>
  <c r="AF506" i="41"/>
  <c r="AH506" i="41" s="1"/>
  <c r="AI506" i="41" s="1"/>
  <c r="AG475" i="41"/>
  <c r="AG357" i="41"/>
  <c r="AG312" i="41"/>
  <c r="AG235" i="41"/>
  <c r="AG153" i="41"/>
  <c r="AG127" i="41"/>
  <c r="AG65" i="41"/>
  <c r="AF26" i="41"/>
  <c r="AF38" i="41"/>
  <c r="AG47" i="41"/>
  <c r="AF54" i="41"/>
  <c r="AH54" i="41" s="1"/>
  <c r="AG499" i="41"/>
  <c r="AG497" i="41"/>
  <c r="AF416" i="41"/>
  <c r="AH416" i="41" s="1"/>
  <c r="AI416" i="41" s="1"/>
  <c r="AF412" i="41"/>
  <c r="AF386" i="41"/>
  <c r="AH386" i="41" s="1"/>
  <c r="AI386" i="41" s="1"/>
  <c r="AG339" i="41"/>
  <c r="AF337" i="41"/>
  <c r="AH337" i="41" s="1"/>
  <c r="AI337" i="41" s="1"/>
  <c r="AF331" i="41"/>
  <c r="AF311" i="41"/>
  <c r="AH311" i="41" s="1"/>
  <c r="AI311" i="41" s="1"/>
  <c r="AF306" i="41"/>
  <c r="AH306" i="41" s="1"/>
  <c r="AI306" i="41" s="1"/>
  <c r="AF304" i="41"/>
  <c r="AH304" i="41" s="1"/>
  <c r="AI304" i="41" s="1"/>
  <c r="AF290" i="41"/>
  <c r="AH290" i="41" s="1"/>
  <c r="AI290" i="41" s="1"/>
  <c r="AF256" i="41"/>
  <c r="AF247" i="41"/>
  <c r="AG243" i="41"/>
  <c r="AG125" i="41"/>
  <c r="AG122" i="41"/>
  <c r="AG79" i="41"/>
  <c r="AF19" i="41"/>
  <c r="AH19" i="41" s="1"/>
  <c r="AF20" i="41"/>
  <c r="AF21" i="41"/>
  <c r="AF37" i="41"/>
  <c r="AG467" i="41"/>
  <c r="AF430" i="41"/>
  <c r="AH430" i="41" s="1"/>
  <c r="AI430" i="41" s="1"/>
  <c r="AF355" i="41"/>
  <c r="AG327" i="41"/>
  <c r="AG323" i="41"/>
  <c r="AF321" i="41"/>
  <c r="AH321" i="41" s="1"/>
  <c r="AI321" i="41" s="1"/>
  <c r="AF213" i="41"/>
  <c r="AH213" i="41" s="1"/>
  <c r="AI213" i="41" s="1"/>
  <c r="AG151" i="41"/>
  <c r="AF142" i="41"/>
  <c r="AH142" i="41" s="1"/>
  <c r="AI142" i="41" s="1"/>
  <c r="AG75" i="41"/>
  <c r="AG40" i="41"/>
  <c r="AG48" i="41"/>
  <c r="AG52" i="41"/>
  <c r="AG498" i="41"/>
  <c r="AG496" i="41"/>
  <c r="AF490" i="41"/>
  <c r="AH490" i="41" s="1"/>
  <c r="AI490" i="41" s="1"/>
  <c r="AF468" i="41"/>
  <c r="AG457" i="41"/>
  <c r="AF446" i="41"/>
  <c r="AH446" i="41" s="1"/>
  <c r="AI446" i="41" s="1"/>
  <c r="AG439" i="41"/>
  <c r="AG437" i="41"/>
  <c r="AG415" i="41"/>
  <c r="AG407" i="41"/>
  <c r="AG399" i="41"/>
  <c r="AG382" i="41"/>
  <c r="AF369" i="41"/>
  <c r="AG367" i="41"/>
  <c r="AF353" i="41"/>
  <c r="AG347" i="41"/>
  <c r="AF343" i="41"/>
  <c r="AH343" i="41" s="1"/>
  <c r="AI343" i="41" s="1"/>
  <c r="AF317" i="41"/>
  <c r="AH317" i="41" s="1"/>
  <c r="AI317" i="41" s="1"/>
  <c r="AG308" i="41"/>
  <c r="AG305" i="41"/>
  <c r="AF276" i="41"/>
  <c r="AH276" i="41" s="1"/>
  <c r="AI276" i="41" s="1"/>
  <c r="AF262" i="41"/>
  <c r="AH262" i="41" s="1"/>
  <c r="AI262" i="41" s="1"/>
  <c r="AG258" i="41"/>
  <c r="AF231" i="41"/>
  <c r="AF206" i="41"/>
  <c r="AH206" i="41" s="1"/>
  <c r="AI206" i="41" s="1"/>
  <c r="AF202" i="41"/>
  <c r="AH202" i="41" s="1"/>
  <c r="AI202" i="41" s="1"/>
  <c r="AF164" i="41"/>
  <c r="AH164" i="41" s="1"/>
  <c r="AI164" i="41" s="1"/>
  <c r="AF154" i="41"/>
  <c r="AH154" i="41" s="1"/>
  <c r="AI154" i="41" s="1"/>
  <c r="AG137" i="41"/>
  <c r="AG104" i="41"/>
  <c r="AG98" i="41"/>
  <c r="AF94" i="41"/>
  <c r="AH94" i="41" s="1"/>
  <c r="AI94" i="41" s="1"/>
  <c r="AF92" i="41"/>
  <c r="AH92" i="41" s="1"/>
  <c r="AI92" i="41" s="1"/>
  <c r="AF90" i="41"/>
  <c r="AH90" i="41" s="1"/>
  <c r="AI90" i="41" s="1"/>
  <c r="AF68" i="41"/>
  <c r="AH68" i="41" s="1"/>
  <c r="AI68" i="41" s="1"/>
  <c r="AF60" i="41"/>
  <c r="AH60" i="41" s="1"/>
  <c r="AI60" i="41" s="1"/>
  <c r="AG7" i="41"/>
  <c r="AF32" i="41"/>
  <c r="AF39" i="41"/>
  <c r="AF51" i="41"/>
  <c r="AH51" i="41" s="1"/>
  <c r="AG51" i="41" s="1"/>
  <c r="AJ51" i="41" s="1"/>
  <c r="AI51" i="41" s="1"/>
  <c r="AG459" i="41"/>
  <c r="AF382" i="41"/>
  <c r="AH382" i="41" s="1"/>
  <c r="AI382" i="41" s="1"/>
  <c r="AF359" i="41"/>
  <c r="AH359" i="41" s="1"/>
  <c r="AI359" i="41" s="1"/>
  <c r="AF329" i="41"/>
  <c r="AF176" i="41"/>
  <c r="AH176" i="41" s="1"/>
  <c r="AI176" i="41" s="1"/>
  <c r="AG26" i="41"/>
  <c r="AF34" i="41"/>
  <c r="AG36" i="41"/>
  <c r="AF41" i="41"/>
  <c r="AF45" i="41"/>
  <c r="AH45" i="41" s="1"/>
  <c r="AG45" i="41" s="1"/>
  <c r="AF46" i="41"/>
  <c r="AG500" i="41"/>
  <c r="AG488" i="41"/>
  <c r="AF484" i="41"/>
  <c r="AG473" i="41"/>
  <c r="AG468" i="41"/>
  <c r="AG465" i="41"/>
  <c r="AF460" i="41"/>
  <c r="AH460" i="41" s="1"/>
  <c r="AI460" i="41" s="1"/>
  <c r="AF452" i="41"/>
  <c r="AF444" i="41"/>
  <c r="AH444" i="41" s="1"/>
  <c r="AI444" i="41" s="1"/>
  <c r="AG441" i="41"/>
  <c r="AG435" i="41"/>
  <c r="AG414" i="41"/>
  <c r="AF410" i="41"/>
  <c r="AH410" i="41" s="1"/>
  <c r="AI410" i="41" s="1"/>
  <c r="AG405" i="41"/>
  <c r="AF375" i="41"/>
  <c r="AG369" i="41"/>
  <c r="AF365" i="41"/>
  <c r="AF357" i="41"/>
  <c r="AH357" i="41" s="1"/>
  <c r="AI357" i="41" s="1"/>
  <c r="AG355" i="41"/>
  <c r="AG351" i="41"/>
  <c r="AG341" i="41"/>
  <c r="AF327" i="41"/>
  <c r="AH327" i="41" s="1"/>
  <c r="AI327" i="41" s="1"/>
  <c r="AF323" i="41"/>
  <c r="AH323" i="41" s="1"/>
  <c r="AI323" i="41" s="1"/>
  <c r="AG321" i="41"/>
  <c r="AG317" i="41"/>
  <c r="AF315" i="41"/>
  <c r="AH315" i="41" s="1"/>
  <c r="AI315" i="41" s="1"/>
  <c r="AG306" i="41"/>
  <c r="AG301" i="41"/>
  <c r="AG286" i="41"/>
  <c r="AG276" i="41"/>
  <c r="AG266" i="41"/>
  <c r="AG245" i="41"/>
  <c r="AF235" i="41"/>
  <c r="AH235" i="41" s="1"/>
  <c r="AI235" i="41" s="1"/>
  <c r="AG231" i="41"/>
  <c r="AG223" i="41"/>
  <c r="AF217" i="41"/>
  <c r="AH217" i="41" s="1"/>
  <c r="AI217" i="41" s="1"/>
  <c r="AF198" i="41"/>
  <c r="AH198" i="41" s="1"/>
  <c r="AI198" i="41" s="1"/>
  <c r="AF168" i="41"/>
  <c r="AH168" i="41" s="1"/>
  <c r="AI168" i="41" s="1"/>
  <c r="AG149" i="41"/>
  <c r="AG147" i="41"/>
  <c r="AG144" i="41"/>
  <c r="AF138" i="41"/>
  <c r="AH138" i="41" s="1"/>
  <c r="AI138" i="41" s="1"/>
  <c r="AG131" i="41"/>
  <c r="AG121" i="41"/>
  <c r="AF114" i="41"/>
  <c r="AH114" i="41" s="1"/>
  <c r="AI114" i="41" s="1"/>
  <c r="AF76" i="41"/>
  <c r="AF11" i="41"/>
  <c r="AH11" i="41" s="1"/>
  <c r="AF15" i="41"/>
  <c r="AH15" i="41" s="1"/>
  <c r="AF23" i="41"/>
  <c r="AF296" i="41"/>
  <c r="AH296" i="41" s="1"/>
  <c r="AI296" i="41" s="1"/>
  <c r="AF158" i="41"/>
  <c r="AH158" i="41" s="1"/>
  <c r="AI158" i="41" s="1"/>
  <c r="AF136" i="41"/>
  <c r="AH136" i="41" s="1"/>
  <c r="AI136" i="41" s="1"/>
  <c r="AF88" i="41"/>
  <c r="AH88" i="41" s="1"/>
  <c r="AI88" i="41" s="1"/>
  <c r="AF29" i="41"/>
  <c r="AF33" i="41"/>
  <c r="AF44" i="41"/>
  <c r="AH44" i="41" s="1"/>
  <c r="AG44" i="41" s="1"/>
  <c r="AJ44" i="41" s="1"/>
  <c r="AI44" i="41" s="1"/>
  <c r="AF476" i="41"/>
  <c r="AH476" i="41" s="1"/>
  <c r="AI476" i="41" s="1"/>
  <c r="AF450" i="41"/>
  <c r="AH450" i="41" s="1"/>
  <c r="AI450" i="41" s="1"/>
  <c r="AF408" i="41"/>
  <c r="AH408" i="41" s="1"/>
  <c r="AI408" i="41" s="1"/>
  <c r="AF390" i="41"/>
  <c r="AH390" i="41" s="1"/>
  <c r="AI390" i="41" s="1"/>
  <c r="AF371" i="41"/>
  <c r="AH371" i="41" s="1"/>
  <c r="AI371" i="41" s="1"/>
  <c r="AF345" i="41"/>
  <c r="AH345" i="41" s="1"/>
  <c r="AI345" i="41" s="1"/>
  <c r="AG343" i="41"/>
  <c r="AF339" i="41"/>
  <c r="AH339" i="41" s="1"/>
  <c r="AI339" i="41" s="1"/>
  <c r="AF333" i="41"/>
  <c r="AH333" i="41" s="1"/>
  <c r="AI333" i="41" s="1"/>
  <c r="AG331" i="41"/>
  <c r="AG325" i="41"/>
  <c r="AF319" i="41"/>
  <c r="AH319" i="41" s="1"/>
  <c r="AI319" i="41" s="1"/>
  <c r="AF313" i="41"/>
  <c r="AH313" i="41" s="1"/>
  <c r="AI313" i="41" s="1"/>
  <c r="AF302" i="41"/>
  <c r="AH302" i="41" s="1"/>
  <c r="AI302" i="41" s="1"/>
  <c r="AG297" i="41"/>
  <c r="AG295" i="41"/>
  <c r="AF292" i="41"/>
  <c r="AH292" i="41" s="1"/>
  <c r="AI292" i="41" s="1"/>
  <c r="AG290" i="41"/>
  <c r="AF280" i="41"/>
  <c r="AH280" i="41" s="1"/>
  <c r="AI280" i="41" s="1"/>
  <c r="AF270" i="41"/>
  <c r="AH270" i="41" s="1"/>
  <c r="AI270" i="41" s="1"/>
  <c r="AG239" i="41"/>
  <c r="AF233" i="41"/>
  <c r="AH233" i="41" s="1"/>
  <c r="AI233" i="41" s="1"/>
  <c r="AF210" i="41"/>
  <c r="AH210" i="41" s="1"/>
  <c r="AI210" i="41" s="1"/>
  <c r="AF201" i="41"/>
  <c r="AG155" i="41"/>
  <c r="AF152" i="41"/>
  <c r="AH152" i="41" s="1"/>
  <c r="AI152" i="41" s="1"/>
  <c r="AF133" i="41"/>
  <c r="AH133" i="41" s="1"/>
  <c r="AI133" i="41" s="1"/>
  <c r="AF120" i="41"/>
  <c r="AH120" i="41" s="1"/>
  <c r="AI120" i="41" s="1"/>
  <c r="AG80" i="41"/>
  <c r="AG67" i="41"/>
  <c r="AF66" i="41"/>
  <c r="AG63" i="41"/>
  <c r="AG56" i="41"/>
  <c r="AG64" i="41"/>
  <c r="AF64" i="41"/>
  <c r="AF309" i="41"/>
  <c r="AG309" i="41"/>
  <c r="AF282" i="41"/>
  <c r="AH282" i="41" s="1"/>
  <c r="AI282" i="41" s="1"/>
  <c r="AG282" i="41"/>
  <c r="AF186" i="41"/>
  <c r="AH186" i="41" s="1"/>
  <c r="AI186" i="41" s="1"/>
  <c r="AG448" i="41"/>
  <c r="AF448" i="41"/>
  <c r="AH448" i="41" s="1"/>
  <c r="AI448" i="41" s="1"/>
  <c r="AF380" i="41"/>
  <c r="AH380" i="41" s="1"/>
  <c r="AI380" i="41" s="1"/>
  <c r="AG380" i="41"/>
  <c r="AG274" i="41"/>
  <c r="AF274" i="41"/>
  <c r="AH274" i="41" s="1"/>
  <c r="AI274" i="41" s="1"/>
  <c r="AF251" i="41"/>
  <c r="AH251" i="41" s="1"/>
  <c r="AI251" i="41" s="1"/>
  <c r="AG251" i="41"/>
  <c r="AF249" i="41"/>
  <c r="AH249" i="41" s="1"/>
  <c r="AI249" i="41" s="1"/>
  <c r="AG249" i="41"/>
  <c r="AF241" i="41"/>
  <c r="AH241" i="41" s="1"/>
  <c r="AI241" i="41" s="1"/>
  <c r="AG241" i="41"/>
  <c r="AG237" i="41"/>
  <c r="AF237" i="41"/>
  <c r="AG185" i="41"/>
  <c r="AF185" i="41"/>
  <c r="AG148" i="41"/>
  <c r="AF148" i="41"/>
  <c r="AH148" i="41" s="1"/>
  <c r="AI148" i="41" s="1"/>
  <c r="AG129" i="41"/>
  <c r="AF129" i="41"/>
  <c r="AH129" i="41" s="1"/>
  <c r="AI129" i="41" s="1"/>
  <c r="AG123" i="41"/>
  <c r="AF123" i="41"/>
  <c r="AH123" i="41" s="1"/>
  <c r="AI123" i="41" s="1"/>
  <c r="AG112" i="41"/>
  <c r="AF112" i="41"/>
  <c r="AH112" i="41" s="1"/>
  <c r="AI112" i="41" s="1"/>
  <c r="AG84" i="41"/>
  <c r="AF84" i="41"/>
  <c r="AH84" i="41" s="1"/>
  <c r="AI84" i="41" s="1"/>
  <c r="AG58" i="41"/>
  <c r="AF58" i="41"/>
  <c r="AF16" i="41"/>
  <c r="AG29" i="41"/>
  <c r="AF40" i="41"/>
  <c r="AH40" i="41" s="1"/>
  <c r="AI40" i="41" s="1"/>
  <c r="AF49" i="41"/>
  <c r="AF53" i="41"/>
  <c r="AG490" i="41"/>
  <c r="AG480" i="41"/>
  <c r="AG471" i="41"/>
  <c r="AF458" i="41"/>
  <c r="AG425" i="41"/>
  <c r="AG389" i="41"/>
  <c r="AG371" i="41"/>
  <c r="AG359" i="41"/>
  <c r="AG345" i="41"/>
  <c r="AG337" i="41"/>
  <c r="AG333" i="41"/>
  <c r="AG302" i="41"/>
  <c r="AG50" i="41"/>
  <c r="AF50" i="41"/>
  <c r="AF288" i="41"/>
  <c r="AG288" i="41"/>
  <c r="AG264" i="41"/>
  <c r="AF264" i="41"/>
  <c r="AH264" i="41" s="1"/>
  <c r="AI264" i="41" s="1"/>
  <c r="AF253" i="41"/>
  <c r="AH253" i="41" s="1"/>
  <c r="AI253" i="41" s="1"/>
  <c r="AG253" i="41"/>
  <c r="AF225" i="41"/>
  <c r="AH225" i="41" s="1"/>
  <c r="AI225" i="41" s="1"/>
  <c r="AG225" i="41"/>
  <c r="AG162" i="41"/>
  <c r="AF162" i="41"/>
  <c r="AH162" i="41" s="1"/>
  <c r="AI162" i="41" s="1"/>
  <c r="AG426" i="41"/>
  <c r="AF426" i="41"/>
  <c r="AH426" i="41" s="1"/>
  <c r="AI426" i="41" s="1"/>
  <c r="AF388" i="41"/>
  <c r="AG388" i="41"/>
  <c r="AF363" i="41"/>
  <c r="AH363" i="41" s="1"/>
  <c r="AI363" i="41" s="1"/>
  <c r="AG363" i="41"/>
  <c r="AG278" i="41"/>
  <c r="AF278" i="41"/>
  <c r="AH278" i="41" s="1"/>
  <c r="AI278" i="41" s="1"/>
  <c r="AG268" i="41"/>
  <c r="AF268" i="41"/>
  <c r="AH268" i="41" s="1"/>
  <c r="AI268" i="41" s="1"/>
  <c r="AF260" i="41"/>
  <c r="AG260" i="41"/>
  <c r="AG209" i="41"/>
  <c r="AF209" i="41"/>
  <c r="AH209" i="41" s="1"/>
  <c r="AI209" i="41" s="1"/>
  <c r="AF194" i="41"/>
  <c r="AH194" i="41" s="1"/>
  <c r="AI194" i="41" s="1"/>
  <c r="AF130" i="41"/>
  <c r="AH130" i="41" s="1"/>
  <c r="AI130" i="41" s="1"/>
  <c r="AG9" i="41"/>
  <c r="AF9" i="41"/>
  <c r="AG43" i="41"/>
  <c r="AF43" i="41"/>
  <c r="AG442" i="41"/>
  <c r="AF442" i="41"/>
  <c r="AG400" i="41"/>
  <c r="AF400" i="41"/>
  <c r="AH400" i="41" s="1"/>
  <c r="AI400" i="41" s="1"/>
  <c r="AF335" i="41"/>
  <c r="AG335" i="41"/>
  <c r="AF284" i="41"/>
  <c r="AH284" i="41" s="1"/>
  <c r="AI284" i="41" s="1"/>
  <c r="AG284" i="41"/>
  <c r="AG272" i="41"/>
  <c r="AF272" i="41"/>
  <c r="AH272" i="41" s="1"/>
  <c r="AI272" i="41" s="1"/>
  <c r="AF229" i="41"/>
  <c r="AH229" i="41" s="1"/>
  <c r="AI229" i="41" s="1"/>
  <c r="AG229" i="41"/>
  <c r="AF221" i="41"/>
  <c r="AH221" i="41" s="1"/>
  <c r="AI221" i="41" s="1"/>
  <c r="AG221" i="41"/>
  <c r="AG212" i="41"/>
  <c r="AF212" i="41"/>
  <c r="AH212" i="41" s="1"/>
  <c r="AI212" i="41" s="1"/>
  <c r="AG140" i="41"/>
  <c r="AF140" i="41"/>
  <c r="AH140" i="41" s="1"/>
  <c r="AI140" i="41" s="1"/>
  <c r="AF126" i="41"/>
  <c r="AH126" i="41" s="1"/>
  <c r="AI126" i="41" s="1"/>
  <c r="AG82" i="41"/>
  <c r="AF82" i="41"/>
  <c r="AF12" i="41"/>
  <c r="AH12" i="41" s="1"/>
  <c r="AF42" i="41"/>
  <c r="AG46" i="41"/>
  <c r="AF47" i="41"/>
  <c r="AG33" i="41"/>
  <c r="AF48" i="41"/>
  <c r="AH48" i="41" s="1"/>
  <c r="AF52" i="41"/>
  <c r="AH52" i="41" s="1"/>
  <c r="AG384" i="41"/>
  <c r="AG373" i="41"/>
  <c r="AG361" i="41"/>
  <c r="AG349" i="41"/>
  <c r="AG21" i="41"/>
  <c r="AG27" i="41"/>
  <c r="AG32" i="41"/>
  <c r="AG506" i="41"/>
  <c r="AG492" i="41"/>
  <c r="AF482" i="41"/>
  <c r="AG476" i="41"/>
  <c r="AF466" i="41"/>
  <c r="AG460" i="41"/>
  <c r="AG454" i="41"/>
  <c r="AG444" i="41"/>
  <c r="AG438" i="41"/>
  <c r="AG436" i="41"/>
  <c r="AG417" i="41"/>
  <c r="AG416" i="41"/>
  <c r="AG412" i="41"/>
  <c r="AG408" i="41"/>
  <c r="AG398" i="41"/>
  <c r="AG392" i="41"/>
  <c r="AG390" i="41"/>
  <c r="AG201" i="41"/>
  <c r="AF197" i="41"/>
  <c r="AH197" i="41" s="1"/>
  <c r="AI197" i="41" s="1"/>
  <c r="AF193" i="41"/>
  <c r="AF146" i="41"/>
  <c r="AF144" i="41"/>
  <c r="AG142" i="41"/>
  <c r="AG136" i="41"/>
  <c r="AF125" i="41"/>
  <c r="AF121" i="41"/>
  <c r="AF80" i="41"/>
  <c r="AH80" i="41" s="1"/>
  <c r="AI80" i="41" s="1"/>
  <c r="AF78" i="41"/>
  <c r="AG74" i="41"/>
  <c r="AG72" i="41"/>
  <c r="AF62" i="41"/>
  <c r="AG60" i="41"/>
  <c r="AF13" i="41"/>
  <c r="AG17" i="41"/>
  <c r="AF25" i="41"/>
  <c r="AH25" i="41" s="1"/>
  <c r="AG37" i="41"/>
  <c r="AF55" i="41"/>
  <c r="AG456" i="41"/>
  <c r="AG452" i="41"/>
  <c r="AG446" i="41"/>
  <c r="AG440" i="41"/>
  <c r="AG430" i="41"/>
  <c r="AG422" i="41"/>
  <c r="AF420" i="41"/>
  <c r="AH420" i="41" s="1"/>
  <c r="AI420" i="41" s="1"/>
  <c r="AG404" i="41"/>
  <c r="AF402" i="41"/>
  <c r="AH402" i="41" s="1"/>
  <c r="AI402" i="41" s="1"/>
  <c r="AG216" i="41"/>
  <c r="AG205" i="41"/>
  <c r="AG189" i="41"/>
  <c r="AG106" i="41"/>
  <c r="AF495" i="41"/>
  <c r="AH495" i="41" s="1"/>
  <c r="AI495" i="41" s="1"/>
  <c r="AF433" i="41"/>
  <c r="AF398" i="41"/>
  <c r="AH398" i="41" s="1"/>
  <c r="AI398" i="41" s="1"/>
  <c r="AF117" i="41"/>
  <c r="AH117" i="41" s="1"/>
  <c r="AI117" i="41" s="1"/>
  <c r="AG117" i="41"/>
  <c r="AF473" i="41"/>
  <c r="AF499" i="41"/>
  <c r="AF491" i="41"/>
  <c r="AF483" i="41"/>
  <c r="AF475" i="41"/>
  <c r="AF467" i="41"/>
  <c r="AF459" i="41"/>
  <c r="AF454" i="41"/>
  <c r="AF451" i="41"/>
  <c r="AG451" i="41"/>
  <c r="AF432" i="41"/>
  <c r="AF429" i="41"/>
  <c r="AG429" i="41"/>
  <c r="AF423" i="41"/>
  <c r="AF419" i="41"/>
  <c r="AF414" i="41"/>
  <c r="AH414" i="41" s="1"/>
  <c r="AI414" i="41" s="1"/>
  <c r="AF411" i="41"/>
  <c r="AG411" i="41"/>
  <c r="AF405" i="41"/>
  <c r="AF401" i="41"/>
  <c r="AG366" i="41"/>
  <c r="AF366" i="41"/>
  <c r="AH366" i="41" s="1"/>
  <c r="AI366" i="41" s="1"/>
  <c r="AF171" i="41"/>
  <c r="AH171" i="41" s="1"/>
  <c r="AI171" i="41" s="1"/>
  <c r="AG171" i="41"/>
  <c r="AF486" i="41"/>
  <c r="AH486" i="41" s="1"/>
  <c r="AI486" i="41" s="1"/>
  <c r="AG503" i="41"/>
  <c r="AG501" i="41"/>
  <c r="AG493" i="41"/>
  <c r="AG485" i="41"/>
  <c r="AF472" i="41"/>
  <c r="AG504" i="41"/>
  <c r="AG502" i="41"/>
  <c r="AF498" i="41"/>
  <c r="AG495" i="41"/>
  <c r="AG494" i="41"/>
  <c r="AG486" i="41"/>
  <c r="AG478" i="41"/>
  <c r="AF474" i="41"/>
  <c r="AG470" i="41"/>
  <c r="AG462" i="41"/>
  <c r="AG434" i="41"/>
  <c r="AG433" i="41"/>
  <c r="AG396" i="41"/>
  <c r="AF503" i="41"/>
  <c r="AH503" i="41" s="1"/>
  <c r="AI503" i="41" s="1"/>
  <c r="AF501" i="41"/>
  <c r="AF493" i="41"/>
  <c r="AF485" i="41"/>
  <c r="AH485" i="41" s="1"/>
  <c r="AI485" i="41" s="1"/>
  <c r="AF477" i="41"/>
  <c r="AF469" i="41"/>
  <c r="AH469" i="41" s="1"/>
  <c r="AI469" i="41" s="1"/>
  <c r="AF461" i="41"/>
  <c r="AF453" i="41"/>
  <c r="AF449" i="41"/>
  <c r="AH449" i="41" s="1"/>
  <c r="AI449" i="41" s="1"/>
  <c r="AF434" i="41"/>
  <c r="AH434" i="41" s="1"/>
  <c r="AI434" i="41" s="1"/>
  <c r="AF431" i="41"/>
  <c r="AH431" i="41" s="1"/>
  <c r="AI431" i="41" s="1"/>
  <c r="AF427" i="41"/>
  <c r="AH427" i="41" s="1"/>
  <c r="AI427" i="41" s="1"/>
  <c r="AF413" i="41"/>
  <c r="AF409" i="41"/>
  <c r="AH409" i="41" s="1"/>
  <c r="AI409" i="41" s="1"/>
  <c r="AG320" i="41"/>
  <c r="AF320" i="41"/>
  <c r="AH320" i="41" s="1"/>
  <c r="AI320" i="41" s="1"/>
  <c r="AG232" i="41"/>
  <c r="AF232" i="41"/>
  <c r="AF505" i="41"/>
  <c r="AF487" i="41"/>
  <c r="AH487" i="41" s="1"/>
  <c r="AI487" i="41" s="1"/>
  <c r="AF479" i="41"/>
  <c r="AF471" i="41"/>
  <c r="AF463" i="41"/>
  <c r="AF417" i="41"/>
  <c r="AH417" i="41" s="1"/>
  <c r="AI417" i="41" s="1"/>
  <c r="AF395" i="41"/>
  <c r="AH395" i="41" s="1"/>
  <c r="AI395" i="41" s="1"/>
  <c r="AG395" i="41"/>
  <c r="AG334" i="41"/>
  <c r="AF334" i="41"/>
  <c r="AH334" i="41" s="1"/>
  <c r="AI334" i="41" s="1"/>
  <c r="AF497" i="41"/>
  <c r="AH497" i="41" s="1"/>
  <c r="AI497" i="41" s="1"/>
  <c r="AF489" i="41"/>
  <c r="AH489" i="41" s="1"/>
  <c r="AI489" i="41" s="1"/>
  <c r="AF481" i="41"/>
  <c r="AF465" i="41"/>
  <c r="AF457" i="41"/>
  <c r="AF424" i="41"/>
  <c r="AF421" i="41"/>
  <c r="AG421" i="41"/>
  <c r="AF406" i="41"/>
  <c r="AF403" i="41"/>
  <c r="AG403" i="41"/>
  <c r="AF397" i="41"/>
  <c r="AF393" i="41"/>
  <c r="AF504" i="41"/>
  <c r="AF502" i="41"/>
  <c r="AF494" i="41"/>
  <c r="AH494" i="41" s="1"/>
  <c r="AI494" i="41" s="1"/>
  <c r="AF478" i="41"/>
  <c r="AF470" i="41"/>
  <c r="AF462" i="41"/>
  <c r="AH462" i="41" s="1"/>
  <c r="AI462" i="41" s="1"/>
  <c r="AF418" i="41"/>
  <c r="AF396" i="41"/>
  <c r="AF496" i="41"/>
  <c r="AF488" i="41"/>
  <c r="AF480" i="41"/>
  <c r="AG477" i="41"/>
  <c r="AG469" i="41"/>
  <c r="AF464" i="41"/>
  <c r="AG461" i="41"/>
  <c r="AF456" i="41"/>
  <c r="AG453" i="41"/>
  <c r="AG449" i="41"/>
  <c r="AG431" i="41"/>
  <c r="AG427" i="41"/>
  <c r="AF422" i="41"/>
  <c r="AG413" i="41"/>
  <c r="AG409" i="41"/>
  <c r="AF404" i="41"/>
  <c r="AH404" i="41" s="1"/>
  <c r="AI404" i="41" s="1"/>
  <c r="AF394" i="41"/>
  <c r="AH394" i="41" s="1"/>
  <c r="AI394" i="41" s="1"/>
  <c r="AF455" i="41"/>
  <c r="AF447" i="41"/>
  <c r="AF445" i="41"/>
  <c r="AF443" i="41"/>
  <c r="AF441" i="41"/>
  <c r="AF439" i="41"/>
  <c r="AF437" i="41"/>
  <c r="AF435" i="41"/>
  <c r="AF425" i="41"/>
  <c r="AF415" i="41"/>
  <c r="AF407" i="41"/>
  <c r="AF399" i="41"/>
  <c r="AF391" i="41"/>
  <c r="AG379" i="41"/>
  <c r="AF379" i="41"/>
  <c r="AG374" i="41"/>
  <c r="AF374" i="41"/>
  <c r="AH374" i="41" s="1"/>
  <c r="AI374" i="41" s="1"/>
  <c r="AG358" i="41"/>
  <c r="AF358" i="41"/>
  <c r="AH358" i="41" s="1"/>
  <c r="AI358" i="41" s="1"/>
  <c r="AG352" i="41"/>
  <c r="AF352" i="41"/>
  <c r="AG348" i="41"/>
  <c r="AF348" i="41"/>
  <c r="AH348" i="41" s="1"/>
  <c r="AI348" i="41" s="1"/>
  <c r="AG342" i="41"/>
  <c r="AF342" i="41"/>
  <c r="AG281" i="41"/>
  <c r="AF281" i="41"/>
  <c r="AH281" i="41" s="1"/>
  <c r="AI281" i="41" s="1"/>
  <c r="AG261" i="41"/>
  <c r="AF261" i="41"/>
  <c r="AG230" i="41"/>
  <c r="AF230" i="41"/>
  <c r="AG450" i="41"/>
  <c r="AG428" i="41"/>
  <c r="AG420" i="41"/>
  <c r="AG418" i="41"/>
  <c r="AG410" i="41"/>
  <c r="AG402" i="41"/>
  <c r="AG394" i="41"/>
  <c r="AF389" i="41"/>
  <c r="AG383" i="41"/>
  <c r="AF383" i="41"/>
  <c r="AG326" i="41"/>
  <c r="AF326" i="41"/>
  <c r="AH326" i="41" s="1"/>
  <c r="AI326" i="41" s="1"/>
  <c r="AG279" i="41"/>
  <c r="AF279" i="41"/>
  <c r="AG259" i="41"/>
  <c r="AF259" i="41"/>
  <c r="AH259" i="41" s="1"/>
  <c r="AI259" i="41" s="1"/>
  <c r="AF182" i="41"/>
  <c r="AH182" i="41" s="1"/>
  <c r="AI182" i="41" s="1"/>
  <c r="AF109" i="41"/>
  <c r="AH109" i="41" s="1"/>
  <c r="AI109" i="41" s="1"/>
  <c r="AG109" i="41"/>
  <c r="AG344" i="41"/>
  <c r="AF344" i="41"/>
  <c r="AH344" i="41" s="1"/>
  <c r="AI344" i="41" s="1"/>
  <c r="AG336" i="41"/>
  <c r="AF336" i="41"/>
  <c r="AG328" i="41"/>
  <c r="AF328" i="41"/>
  <c r="AH328" i="41" s="1"/>
  <c r="AI328" i="41" s="1"/>
  <c r="AG224" i="41"/>
  <c r="AF224" i="41"/>
  <c r="AH224" i="41" s="1"/>
  <c r="AI224" i="41" s="1"/>
  <c r="AG222" i="41"/>
  <c r="AF222" i="41"/>
  <c r="AF218" i="41"/>
  <c r="AG218" i="41"/>
  <c r="AF203" i="41"/>
  <c r="AH203" i="41" s="1"/>
  <c r="AI203" i="41" s="1"/>
  <c r="AG203" i="41"/>
  <c r="AF195" i="41"/>
  <c r="AH195" i="41" s="1"/>
  <c r="AI195" i="41" s="1"/>
  <c r="AG195" i="41"/>
  <c r="AF187" i="41"/>
  <c r="AG187" i="41"/>
  <c r="AF178" i="41"/>
  <c r="AH178" i="41" s="1"/>
  <c r="AI178" i="41" s="1"/>
  <c r="AF174" i="41"/>
  <c r="AH174" i="41" s="1"/>
  <c r="AI174" i="41" s="1"/>
  <c r="AF167" i="41"/>
  <c r="AH167" i="41" s="1"/>
  <c r="AI167" i="41" s="1"/>
  <c r="AG167" i="41"/>
  <c r="AF157" i="41"/>
  <c r="AH157" i="41" s="1"/>
  <c r="AI157" i="41" s="1"/>
  <c r="AG157" i="41"/>
  <c r="AF116" i="41"/>
  <c r="AH116" i="41" s="1"/>
  <c r="AI116" i="41" s="1"/>
  <c r="AG385" i="41"/>
  <c r="AF385" i="41"/>
  <c r="AH385" i="41" s="1"/>
  <c r="AI385" i="41" s="1"/>
  <c r="AG381" i="41"/>
  <c r="AF381" i="41"/>
  <c r="AH381" i="41" s="1"/>
  <c r="AI381" i="41" s="1"/>
  <c r="AG376" i="41"/>
  <c r="AF376" i="41"/>
  <c r="AH376" i="41" s="1"/>
  <c r="AI376" i="41" s="1"/>
  <c r="AG370" i="41"/>
  <c r="AF370" i="41"/>
  <c r="AH370" i="41" s="1"/>
  <c r="AI370" i="41" s="1"/>
  <c r="AG362" i="41"/>
  <c r="AF362" i="41"/>
  <c r="AH362" i="41" s="1"/>
  <c r="AI362" i="41" s="1"/>
  <c r="AG354" i="41"/>
  <c r="AF354" i="41"/>
  <c r="AH354" i="41" s="1"/>
  <c r="AI354" i="41" s="1"/>
  <c r="AG350" i="41"/>
  <c r="AF350" i="41"/>
  <c r="AH350" i="41" s="1"/>
  <c r="AI350" i="41" s="1"/>
  <c r="AG338" i="41"/>
  <c r="AF338" i="41"/>
  <c r="AH338" i="41" s="1"/>
  <c r="AI338" i="41" s="1"/>
  <c r="AG330" i="41"/>
  <c r="AF330" i="41"/>
  <c r="AH330" i="41" s="1"/>
  <c r="AI330" i="41" s="1"/>
  <c r="AG324" i="41"/>
  <c r="AF324" i="41"/>
  <c r="AH324" i="41" s="1"/>
  <c r="AI324" i="41" s="1"/>
  <c r="AG316" i="41"/>
  <c r="AF316" i="41"/>
  <c r="AH316" i="41" s="1"/>
  <c r="AI316" i="41" s="1"/>
  <c r="AG315" i="41"/>
  <c r="AF314" i="41"/>
  <c r="AH314" i="41" s="1"/>
  <c r="AI314" i="41" s="1"/>
  <c r="AG314" i="41"/>
  <c r="AG311" i="41"/>
  <c r="AF310" i="41"/>
  <c r="AH310" i="41" s="1"/>
  <c r="AI310" i="41" s="1"/>
  <c r="AG310" i="41"/>
  <c r="AF307" i="41"/>
  <c r="AH307" i="41" s="1"/>
  <c r="AI307" i="41" s="1"/>
  <c r="AG307" i="41"/>
  <c r="AG304" i="41"/>
  <c r="AF303" i="41"/>
  <c r="AH303" i="41" s="1"/>
  <c r="AI303" i="41" s="1"/>
  <c r="AG303" i="41"/>
  <c r="AG300" i="41"/>
  <c r="AF299" i="41"/>
  <c r="AH299" i="41" s="1"/>
  <c r="AI299" i="41" s="1"/>
  <c r="AG299" i="41"/>
  <c r="AG298" i="41"/>
  <c r="AF298" i="41"/>
  <c r="AF293" i="41"/>
  <c r="AH293" i="41" s="1"/>
  <c r="AI293" i="41" s="1"/>
  <c r="AG293" i="41"/>
  <c r="AG267" i="41"/>
  <c r="AF267" i="41"/>
  <c r="AH267" i="41" s="1"/>
  <c r="AI267" i="41" s="1"/>
  <c r="AG265" i="41"/>
  <c r="AF265" i="41"/>
  <c r="AF170" i="41"/>
  <c r="AH170" i="41" s="1"/>
  <c r="AI170" i="41" s="1"/>
  <c r="AF159" i="41"/>
  <c r="AH159" i="41" s="1"/>
  <c r="AI159" i="41" s="1"/>
  <c r="AG159" i="41"/>
  <c r="AG128" i="41"/>
  <c r="AF128" i="41"/>
  <c r="AH128" i="41" s="1"/>
  <c r="AI128" i="41" s="1"/>
  <c r="AF106" i="41"/>
  <c r="AH106" i="41" s="1"/>
  <c r="AI106" i="41" s="1"/>
  <c r="AF95" i="41"/>
  <c r="AH95" i="41" s="1"/>
  <c r="AI95" i="41" s="1"/>
  <c r="AG95" i="41"/>
  <c r="AG100" i="41"/>
  <c r="AG368" i="41"/>
  <c r="AF368" i="41"/>
  <c r="AG360" i="41"/>
  <c r="AF360" i="41"/>
  <c r="AG322" i="41"/>
  <c r="AF322" i="41"/>
  <c r="AG292" i="41"/>
  <c r="AF291" i="41"/>
  <c r="AG291" i="41"/>
  <c r="AG273" i="41"/>
  <c r="AF273" i="41"/>
  <c r="AH273" i="41" s="1"/>
  <c r="AI273" i="41" s="1"/>
  <c r="AG387" i="41"/>
  <c r="AF387" i="41"/>
  <c r="AG378" i="41"/>
  <c r="AF378" i="41"/>
  <c r="AH378" i="41" s="1"/>
  <c r="AI378" i="41" s="1"/>
  <c r="AG372" i="41"/>
  <c r="AF372" i="41"/>
  <c r="AG364" i="41"/>
  <c r="AF364" i="41"/>
  <c r="AH364" i="41" s="1"/>
  <c r="AI364" i="41" s="1"/>
  <c r="AG356" i="41"/>
  <c r="AF356" i="41"/>
  <c r="AG346" i="41"/>
  <c r="AF346" i="41"/>
  <c r="AG340" i="41"/>
  <c r="AF340" i="41"/>
  <c r="AG332" i="41"/>
  <c r="AF332" i="41"/>
  <c r="AH332" i="41" s="1"/>
  <c r="AI332" i="41" s="1"/>
  <c r="AG318" i="41"/>
  <c r="AF318" i="41"/>
  <c r="AG287" i="41"/>
  <c r="AF287" i="41"/>
  <c r="AG252" i="41"/>
  <c r="AF252" i="41"/>
  <c r="AH252" i="41" s="1"/>
  <c r="AI252" i="41" s="1"/>
  <c r="AG246" i="41"/>
  <c r="AF246" i="41"/>
  <c r="AG240" i="41"/>
  <c r="AF240" i="41"/>
  <c r="AH240" i="41" s="1"/>
  <c r="AI240" i="41" s="1"/>
  <c r="AG238" i="41"/>
  <c r="AF238" i="41"/>
  <c r="AF214" i="41"/>
  <c r="AH214" i="41" s="1"/>
  <c r="AI214" i="41" s="1"/>
  <c r="AG214" i="41"/>
  <c r="AF207" i="41"/>
  <c r="AG207" i="41"/>
  <c r="AF199" i="41"/>
  <c r="AH199" i="41" s="1"/>
  <c r="AI199" i="41" s="1"/>
  <c r="AG199" i="41"/>
  <c r="AF191" i="41"/>
  <c r="AH191" i="41" s="1"/>
  <c r="AI191" i="41" s="1"/>
  <c r="AG191" i="41"/>
  <c r="AF179" i="41"/>
  <c r="AH179" i="41" s="1"/>
  <c r="AI179" i="41" s="1"/>
  <c r="AG179" i="41"/>
  <c r="AF175" i="41"/>
  <c r="AH175" i="41" s="1"/>
  <c r="AI175" i="41" s="1"/>
  <c r="AG175" i="41"/>
  <c r="AF100" i="41"/>
  <c r="AH100" i="41" s="1"/>
  <c r="AI100" i="41" s="1"/>
  <c r="AF297" i="41"/>
  <c r="AG283" i="41"/>
  <c r="AF283" i="41"/>
  <c r="AH283" i="41" s="1"/>
  <c r="AI283" i="41" s="1"/>
  <c r="AG275" i="41"/>
  <c r="AF275" i="41"/>
  <c r="AH275" i="41" s="1"/>
  <c r="AI275" i="41" s="1"/>
  <c r="AG269" i="41"/>
  <c r="AF269" i="41"/>
  <c r="AH269" i="41" s="1"/>
  <c r="AI269" i="41" s="1"/>
  <c r="AG255" i="41"/>
  <c r="AF255" i="41"/>
  <c r="AH255" i="41" s="1"/>
  <c r="AI255" i="41" s="1"/>
  <c r="AG248" i="41"/>
  <c r="AF248" i="41"/>
  <c r="AH248" i="41" s="1"/>
  <c r="AI248" i="41" s="1"/>
  <c r="AG242" i="41"/>
  <c r="AF242" i="41"/>
  <c r="AH242" i="41" s="1"/>
  <c r="AI242" i="41" s="1"/>
  <c r="AG234" i="41"/>
  <c r="AF234" i="41"/>
  <c r="AH234" i="41" s="1"/>
  <c r="AI234" i="41" s="1"/>
  <c r="AG226" i="41"/>
  <c r="AF226" i="41"/>
  <c r="AH226" i="41" s="1"/>
  <c r="AI226" i="41" s="1"/>
  <c r="AF183" i="41"/>
  <c r="AG183" i="41"/>
  <c r="AF160" i="41"/>
  <c r="AG135" i="41"/>
  <c r="AF135" i="41"/>
  <c r="AH135" i="41" s="1"/>
  <c r="AI135" i="41" s="1"/>
  <c r="AF103" i="41"/>
  <c r="AG103" i="41"/>
  <c r="AF97" i="41"/>
  <c r="AG97" i="41"/>
  <c r="AF74" i="41"/>
  <c r="AH74" i="41" s="1"/>
  <c r="AI74" i="41" s="1"/>
  <c r="AF69" i="41"/>
  <c r="AH69" i="41" s="1"/>
  <c r="AI69" i="41" s="1"/>
  <c r="AG69" i="41"/>
  <c r="AF312" i="41"/>
  <c r="AF308" i="41"/>
  <c r="AF305" i="41"/>
  <c r="AF301" i="41"/>
  <c r="AH301" i="41" s="1"/>
  <c r="AI301" i="41" s="1"/>
  <c r="AF295" i="41"/>
  <c r="AH295" i="41" s="1"/>
  <c r="AI295" i="41" s="1"/>
  <c r="AF289" i="41"/>
  <c r="AG285" i="41"/>
  <c r="AF285" i="41"/>
  <c r="AH285" i="41" s="1"/>
  <c r="AI285" i="41" s="1"/>
  <c r="AG277" i="41"/>
  <c r="AF277" i="41"/>
  <c r="AH277" i="41" s="1"/>
  <c r="AI277" i="41" s="1"/>
  <c r="AG271" i="41"/>
  <c r="AF271" i="41"/>
  <c r="AH271" i="41" s="1"/>
  <c r="AI271" i="41" s="1"/>
  <c r="AG263" i="41"/>
  <c r="AF263" i="41"/>
  <c r="AH263" i="41" s="1"/>
  <c r="AI263" i="41" s="1"/>
  <c r="AG257" i="41"/>
  <c r="AF257" i="41"/>
  <c r="AG254" i="41"/>
  <c r="AF254" i="41"/>
  <c r="AH254" i="41" s="1"/>
  <c r="AI254" i="41" s="1"/>
  <c r="AG250" i="41"/>
  <c r="AF250" i="41"/>
  <c r="AH250" i="41" s="1"/>
  <c r="AI250" i="41" s="1"/>
  <c r="AG244" i="41"/>
  <c r="AF244" i="41"/>
  <c r="AH244" i="41" s="1"/>
  <c r="AI244" i="41" s="1"/>
  <c r="AG236" i="41"/>
  <c r="AF236" i="41"/>
  <c r="AG228" i="41"/>
  <c r="AF228" i="41"/>
  <c r="AG220" i="41"/>
  <c r="AF220" i="41"/>
  <c r="AH220" i="41" s="1"/>
  <c r="AI220" i="41" s="1"/>
  <c r="AG219" i="41"/>
  <c r="AF219" i="41"/>
  <c r="AH219" i="41" s="1"/>
  <c r="AI219" i="41" s="1"/>
  <c r="AG215" i="41"/>
  <c r="AF215" i="41"/>
  <c r="AG211" i="41"/>
  <c r="AF211" i="41"/>
  <c r="AH211" i="41" s="1"/>
  <c r="AI211" i="41" s="1"/>
  <c r="AG208" i="41"/>
  <c r="AF208" i="41"/>
  <c r="AH208" i="41" s="1"/>
  <c r="AI208" i="41" s="1"/>
  <c r="AG204" i="41"/>
  <c r="AF204" i="41"/>
  <c r="AH204" i="41" s="1"/>
  <c r="AI204" i="41" s="1"/>
  <c r="AG200" i="41"/>
  <c r="AF200" i="41"/>
  <c r="AH200" i="41" s="1"/>
  <c r="AI200" i="41" s="1"/>
  <c r="AG196" i="41"/>
  <c r="AF196" i="41"/>
  <c r="AH196" i="41" s="1"/>
  <c r="AI196" i="41" s="1"/>
  <c r="AG192" i="41"/>
  <c r="AF192" i="41"/>
  <c r="AH192" i="41" s="1"/>
  <c r="AI192" i="41" s="1"/>
  <c r="AG188" i="41"/>
  <c r="AF188" i="41"/>
  <c r="AH188" i="41" s="1"/>
  <c r="AI188" i="41" s="1"/>
  <c r="AG184" i="41"/>
  <c r="AF184" i="41"/>
  <c r="AH184" i="41" s="1"/>
  <c r="AI184" i="41" s="1"/>
  <c r="AF181" i="41"/>
  <c r="AH181" i="41" s="1"/>
  <c r="AI181" i="41" s="1"/>
  <c r="AG181" i="41"/>
  <c r="AF177" i="41"/>
  <c r="AG177" i="41"/>
  <c r="AF173" i="41"/>
  <c r="AH173" i="41" s="1"/>
  <c r="AI173" i="41" s="1"/>
  <c r="AG173" i="41"/>
  <c r="AF169" i="41"/>
  <c r="AH169" i="41" s="1"/>
  <c r="AI169" i="41" s="1"/>
  <c r="AG169" i="41"/>
  <c r="AG132" i="41"/>
  <c r="AF132" i="41"/>
  <c r="AH132" i="41" s="1"/>
  <c r="AI132" i="41" s="1"/>
  <c r="AF108" i="41"/>
  <c r="AH108" i="41" s="1"/>
  <c r="AI108" i="41" s="1"/>
  <c r="AF101" i="41"/>
  <c r="AH101" i="41" s="1"/>
  <c r="AI101" i="41" s="1"/>
  <c r="AF91" i="41"/>
  <c r="AH91" i="41" s="1"/>
  <c r="AI91" i="41" s="1"/>
  <c r="AG91" i="41"/>
  <c r="AF87" i="41"/>
  <c r="AH87" i="41" s="1"/>
  <c r="AI87" i="41" s="1"/>
  <c r="AG87" i="41"/>
  <c r="AF71" i="41"/>
  <c r="AG71" i="41"/>
  <c r="AG217" i="41"/>
  <c r="AG213" i="41"/>
  <c r="AG210" i="41"/>
  <c r="AG206" i="41"/>
  <c r="AG202" i="41"/>
  <c r="AG198" i="41"/>
  <c r="AG194" i="41"/>
  <c r="AG190" i="41"/>
  <c r="AG186" i="41"/>
  <c r="AF161" i="41"/>
  <c r="AF147" i="41"/>
  <c r="AF145" i="41"/>
  <c r="AF143" i="41"/>
  <c r="AF141" i="41"/>
  <c r="AF139" i="41"/>
  <c r="AF137" i="41"/>
  <c r="AF134" i="41"/>
  <c r="AH134" i="41" s="1"/>
  <c r="AI134" i="41" s="1"/>
  <c r="AF131" i="41"/>
  <c r="AH131" i="41" s="1"/>
  <c r="AI131" i="41" s="1"/>
  <c r="AF127" i="41"/>
  <c r="AH127" i="41" s="1"/>
  <c r="AI127" i="41" s="1"/>
  <c r="AF115" i="41"/>
  <c r="AG115" i="41"/>
  <c r="AF107" i="41"/>
  <c r="AG107" i="41"/>
  <c r="AF104" i="41"/>
  <c r="AF98" i="41"/>
  <c r="AF93" i="41"/>
  <c r="AH93" i="41" s="1"/>
  <c r="AI93" i="41" s="1"/>
  <c r="AG93" i="41"/>
  <c r="AF89" i="41"/>
  <c r="AG89" i="41"/>
  <c r="AF72" i="41"/>
  <c r="AG166" i="41"/>
  <c r="AG164" i="41"/>
  <c r="AG156" i="41"/>
  <c r="AG154" i="41"/>
  <c r="AG152" i="41"/>
  <c r="AG150" i="41"/>
  <c r="AG118" i="41"/>
  <c r="AG110" i="41"/>
  <c r="AG102" i="41"/>
  <c r="AG96" i="41"/>
  <c r="AF165" i="41"/>
  <c r="AF163" i="41"/>
  <c r="AF155" i="41"/>
  <c r="AF153" i="41"/>
  <c r="AH153" i="41" s="1"/>
  <c r="AI153" i="41" s="1"/>
  <c r="AF151" i="41"/>
  <c r="AF149" i="41"/>
  <c r="AF118" i="41"/>
  <c r="AH118" i="41" s="1"/>
  <c r="AI118" i="41" s="1"/>
  <c r="AF110" i="41"/>
  <c r="AF105" i="41"/>
  <c r="AH105" i="41" s="1"/>
  <c r="AI105" i="41" s="1"/>
  <c r="AG105" i="41"/>
  <c r="AF102" i="41"/>
  <c r="AH102" i="41" s="1"/>
  <c r="AI102" i="41" s="1"/>
  <c r="AF99" i="41"/>
  <c r="AH99" i="41" s="1"/>
  <c r="AI99" i="41" s="1"/>
  <c r="AG99" i="41"/>
  <c r="AF96" i="41"/>
  <c r="AH96" i="41" s="1"/>
  <c r="AI96" i="41" s="1"/>
  <c r="AF73" i="41"/>
  <c r="AH73" i="41" s="1"/>
  <c r="AI73" i="41" s="1"/>
  <c r="AG73" i="41"/>
  <c r="AG182" i="41"/>
  <c r="AG180" i="41"/>
  <c r="AG178" i="41"/>
  <c r="AG176" i="41"/>
  <c r="AG174" i="41"/>
  <c r="AG172" i="41"/>
  <c r="AG170" i="41"/>
  <c r="AG168" i="41"/>
  <c r="AG158" i="41"/>
  <c r="AG108" i="41"/>
  <c r="AG101" i="41"/>
  <c r="AG133" i="41"/>
  <c r="AG130" i="41"/>
  <c r="AG126" i="41"/>
  <c r="AF124" i="41"/>
  <c r="AF122" i="41"/>
  <c r="AF119" i="41"/>
  <c r="AF111" i="41"/>
  <c r="AF83" i="41"/>
  <c r="AF81" i="41"/>
  <c r="AF79" i="41"/>
  <c r="AF77" i="41"/>
  <c r="AF75" i="41"/>
  <c r="AF65" i="41"/>
  <c r="AF63" i="41"/>
  <c r="AF61" i="41"/>
  <c r="AF59" i="41"/>
  <c r="AF57" i="41"/>
  <c r="AG114" i="41"/>
  <c r="AG86" i="41"/>
  <c r="AG68" i="41"/>
  <c r="AF113" i="41"/>
  <c r="AH113" i="41" s="1"/>
  <c r="AI113" i="41" s="1"/>
  <c r="AF85" i="41"/>
  <c r="AH85" i="41" s="1"/>
  <c r="AI85" i="41" s="1"/>
  <c r="AF67" i="41"/>
  <c r="AH67" i="41" s="1"/>
  <c r="AI67" i="41" s="1"/>
  <c r="AG116" i="41"/>
  <c r="AG94" i="41"/>
  <c r="AG92" i="41"/>
  <c r="AG90" i="41"/>
  <c r="AG88" i="41"/>
  <c r="AG70" i="41"/>
  <c r="P510" i="41"/>
  <c r="AG11" i="41"/>
  <c r="AG12" i="41"/>
  <c r="AG13" i="41"/>
  <c r="AG24" i="41"/>
  <c r="AG25" i="41"/>
  <c r="AG31" i="41"/>
  <c r="AF7" i="41"/>
  <c r="AG8" i="41"/>
  <c r="AF8" i="41" s="1"/>
  <c r="AH8" i="41" s="1"/>
  <c r="AF14" i="41"/>
  <c r="AF17" i="41"/>
  <c r="AG18" i="41"/>
  <c r="AF22" i="41"/>
  <c r="AH22" i="41" s="1"/>
  <c r="AG22" i="41" s="1"/>
  <c r="V26" i="41"/>
  <c r="AF27" i="41"/>
  <c r="AH27" i="41" s="1"/>
  <c r="AF28" i="41"/>
  <c r="AF30" i="41"/>
  <c r="AG35" i="41"/>
  <c r="AG42" i="41"/>
  <c r="AG49" i="41"/>
  <c r="AE8" i="42"/>
  <c r="AF8" i="42" s="1"/>
  <c r="AI8" i="42" s="1"/>
  <c r="AG15" i="41"/>
  <c r="AG19" i="41"/>
  <c r="AG23" i="41"/>
  <c r="AG38" i="41"/>
  <c r="AG54" i="41"/>
  <c r="V22" i="41"/>
  <c r="AF24" i="41"/>
  <c r="AH24" i="41" s="1"/>
  <c r="AF31" i="41"/>
  <c r="Q510" i="41"/>
  <c r="V19" i="41"/>
  <c r="V27" i="41"/>
  <c r="AG9" i="40"/>
  <c r="AH9" i="40" s="1"/>
  <c r="AG7" i="40"/>
  <c r="AH7" i="40" s="1"/>
  <c r="AG10" i="40"/>
  <c r="AH10" i="40" s="1"/>
  <c r="AB8" i="43"/>
  <c r="Z8" i="43" s="1"/>
  <c r="AG8" i="40"/>
  <c r="AH8" i="40" s="1"/>
  <c r="AG11" i="40"/>
  <c r="AH11" i="40" s="1"/>
  <c r="A3" i="144"/>
  <c r="G6" i="128"/>
  <c r="A3" i="142"/>
  <c r="G6" i="55"/>
  <c r="G9" i="70"/>
  <c r="AF9" i="42"/>
  <c r="AI9" i="42" s="1"/>
  <c r="AE10" i="42"/>
  <c r="AE11" i="42"/>
  <c r="AF11" i="42" s="1"/>
  <c r="AI11" i="42" s="1"/>
  <c r="AC7" i="43"/>
  <c r="AB9" i="43"/>
  <c r="AC9" i="43" s="1"/>
  <c r="AB10" i="43"/>
  <c r="AC10" i="43" s="1"/>
  <c r="AB11" i="43"/>
  <c r="AC11" i="43" s="1"/>
  <c r="F11" i="55"/>
  <c r="F17" i="55"/>
  <c r="D28" i="70"/>
  <c r="G28" i="70" s="1"/>
  <c r="A26" i="144"/>
  <c r="AE7" i="42"/>
  <c r="AF7" i="42" s="1"/>
  <c r="AI7" i="42" s="1"/>
  <c r="G12" i="70"/>
  <c r="A25" i="144"/>
  <c r="W43" i="38"/>
  <c r="V43" i="38"/>
  <c r="AG13" i="46" l="1"/>
  <c r="V20" i="46"/>
  <c r="AJ484" i="41"/>
  <c r="AJ76" i="41"/>
  <c r="AJ375" i="41"/>
  <c r="AJ492" i="41"/>
  <c r="AJ343" i="41"/>
  <c r="AK343" i="41" s="1"/>
  <c r="R343" i="41" s="1"/>
  <c r="U343" i="41" s="1"/>
  <c r="AJ243" i="41"/>
  <c r="AK243" i="41" s="1"/>
  <c r="R243" i="41" s="1"/>
  <c r="G6" i="131"/>
  <c r="F6" i="131" s="1"/>
  <c r="S20" i="46"/>
  <c r="U13" i="46"/>
  <c r="AC10" i="42"/>
  <c r="AH13" i="46"/>
  <c r="AJ342" i="41"/>
  <c r="AJ257" i="41"/>
  <c r="AJ340" i="41"/>
  <c r="AJ336" i="41"/>
  <c r="AJ331" i="41"/>
  <c r="AJ205" i="41"/>
  <c r="AJ283" i="41"/>
  <c r="AK283" i="41" s="1"/>
  <c r="AJ335" i="41"/>
  <c r="AJ341" i="41"/>
  <c r="AJ256" i="41"/>
  <c r="AJ377" i="41"/>
  <c r="AJ339" i="41"/>
  <c r="AK339" i="41" s="1"/>
  <c r="AJ164" i="41"/>
  <c r="AJ363" i="41"/>
  <c r="AJ284" i="41"/>
  <c r="AJ273" i="41"/>
  <c r="AJ338" i="41"/>
  <c r="AK338" i="41" s="1"/>
  <c r="AJ334" i="41"/>
  <c r="AJ333" i="41"/>
  <c r="AJ332" i="41"/>
  <c r="AJ337" i="41"/>
  <c r="S16" i="46"/>
  <c r="R16" i="46" s="1"/>
  <c r="Q16" i="46" s="1"/>
  <c r="T16" i="46" s="1"/>
  <c r="AH16" i="46"/>
  <c r="C9" i="55"/>
  <c r="F9" i="55"/>
  <c r="AC9" i="46"/>
  <c r="AG12" i="46"/>
  <c r="S12" i="46" s="1"/>
  <c r="G9" i="55"/>
  <c r="AG10" i="46"/>
  <c r="AH10" i="46" s="1"/>
  <c r="AG7" i="46"/>
  <c r="S7" i="46" s="1"/>
  <c r="G27" i="44"/>
  <c r="P27" i="44"/>
  <c r="N27" i="44" s="1"/>
  <c r="S14" i="46"/>
  <c r="AG14" i="46"/>
  <c r="AH14" i="46" s="1"/>
  <c r="R20" i="46"/>
  <c r="T20" i="46" s="1"/>
  <c r="S18" i="46"/>
  <c r="R18" i="46" s="1"/>
  <c r="Q18" i="46" s="1"/>
  <c r="AH7" i="46"/>
  <c r="AK51" i="41"/>
  <c r="AK44" i="41"/>
  <c r="AJ436" i="41"/>
  <c r="AK436" i="41" s="1"/>
  <c r="R436" i="41" s="1"/>
  <c r="AC8" i="43"/>
  <c r="AJ294" i="41"/>
  <c r="AJ152" i="41"/>
  <c r="AK152" i="41" s="1"/>
  <c r="AJ166" i="41"/>
  <c r="AK166" i="41" s="1"/>
  <c r="R166" i="41" s="1"/>
  <c r="AJ38" i="41"/>
  <c r="AJ160" i="41"/>
  <c r="AJ351" i="41"/>
  <c r="AJ37" i="41"/>
  <c r="AJ66" i="41"/>
  <c r="AJ286" i="41"/>
  <c r="AJ163" i="41"/>
  <c r="AJ139" i="41"/>
  <c r="AJ432" i="41"/>
  <c r="AJ384" i="41"/>
  <c r="AJ81" i="41"/>
  <c r="AJ145" i="41"/>
  <c r="AJ482" i="41"/>
  <c r="AJ258" i="41"/>
  <c r="AJ23" i="41"/>
  <c r="AJ325" i="41"/>
  <c r="AJ156" i="41"/>
  <c r="AJ210" i="41"/>
  <c r="AK210" i="41" s="1"/>
  <c r="AJ438" i="41"/>
  <c r="AJ48" i="41"/>
  <c r="AJ35" i="41"/>
  <c r="AJ92" i="41"/>
  <c r="AK92" i="41" s="1"/>
  <c r="AJ133" i="41"/>
  <c r="AJ137" i="41"/>
  <c r="AJ206" i="41"/>
  <c r="AJ428" i="41"/>
  <c r="AJ440" i="41"/>
  <c r="AK440" i="41" s="1"/>
  <c r="AJ53" i="41"/>
  <c r="AJ239" i="41"/>
  <c r="AK239" i="41" s="1"/>
  <c r="AJ266" i="41"/>
  <c r="AJ247" i="41"/>
  <c r="AJ424" i="41"/>
  <c r="AJ62" i="41"/>
  <c r="AJ142" i="41"/>
  <c r="AJ416" i="41"/>
  <c r="AJ245" i="41"/>
  <c r="AJ86" i="41"/>
  <c r="AK86" i="41" s="1"/>
  <c r="AJ143" i="41"/>
  <c r="AJ202" i="41"/>
  <c r="AJ312" i="41"/>
  <c r="AJ391" i="41"/>
  <c r="AJ405" i="41"/>
  <c r="AJ361" i="41"/>
  <c r="AJ369" i="41"/>
  <c r="AJ189" i="41"/>
  <c r="AJ138" i="41"/>
  <c r="AJ18" i="41"/>
  <c r="AH66" i="41"/>
  <c r="AI66" i="41" s="1"/>
  <c r="AJ297" i="41"/>
  <c r="AJ207" i="41"/>
  <c r="AH331" i="41"/>
  <c r="AI331" i="41" s="1"/>
  <c r="AJ393" i="41"/>
  <c r="AJ406" i="41"/>
  <c r="AJ474" i="41"/>
  <c r="AJ491" i="41"/>
  <c r="AJ78" i="41"/>
  <c r="AJ193" i="41"/>
  <c r="AJ349" i="41"/>
  <c r="AK349" i="41" s="1"/>
  <c r="AJ302" i="41"/>
  <c r="AJ458" i="41"/>
  <c r="AJ237" i="41"/>
  <c r="AJ276" i="41"/>
  <c r="AJ227" i="41"/>
  <c r="AK227" i="41" s="1"/>
  <c r="AJ300" i="41"/>
  <c r="AK300" i="41" s="1"/>
  <c r="AJ450" i="41"/>
  <c r="AK450" i="41" s="1"/>
  <c r="AH369" i="41"/>
  <c r="AI369" i="41" s="1"/>
  <c r="AJ125" i="41"/>
  <c r="AJ223" i="41"/>
  <c r="AJ481" i="41"/>
  <c r="AJ144" i="41"/>
  <c r="AJ290" i="41"/>
  <c r="AJ365" i="41"/>
  <c r="AJ116" i="41"/>
  <c r="AK116" i="41" s="1"/>
  <c r="AJ56" i="41"/>
  <c r="AJ319" i="41"/>
  <c r="AJ466" i="41"/>
  <c r="AJ373" i="41"/>
  <c r="AK373" i="41" s="1"/>
  <c r="AJ36" i="41"/>
  <c r="AK36" i="41" s="1"/>
  <c r="AJ216" i="41"/>
  <c r="AK216" i="41" s="1"/>
  <c r="AJ430" i="41"/>
  <c r="AJ386" i="41"/>
  <c r="AH76" i="41"/>
  <c r="AI76" i="41" s="1"/>
  <c r="AJ168" i="41"/>
  <c r="AJ176" i="41"/>
  <c r="AJ165" i="41"/>
  <c r="AJ456" i="41"/>
  <c r="AJ233" i="41"/>
  <c r="AJ317" i="41"/>
  <c r="AJ347" i="41"/>
  <c r="AJ367" i="41"/>
  <c r="AH466" i="41"/>
  <c r="AI466" i="41" s="1"/>
  <c r="AJ460" i="41"/>
  <c r="AK460" i="41" s="1"/>
  <c r="AJ172" i="41"/>
  <c r="AJ197" i="41"/>
  <c r="AH205" i="41"/>
  <c r="AI205" i="41" s="1"/>
  <c r="AJ376" i="41"/>
  <c r="AJ402" i="41"/>
  <c r="AJ441" i="41"/>
  <c r="AJ464" i="41"/>
  <c r="AH484" i="41"/>
  <c r="AI484" i="41" s="1"/>
  <c r="AJ500" i="41"/>
  <c r="AK500" i="41" s="1"/>
  <c r="AJ329" i="41"/>
  <c r="AJ382" i="41"/>
  <c r="AK382" i="41" s="1"/>
  <c r="AJ70" i="41"/>
  <c r="AJ97" i="41"/>
  <c r="AJ505" i="41"/>
  <c r="AJ345" i="41"/>
  <c r="AK345" i="41" s="1"/>
  <c r="AJ146" i="41"/>
  <c r="AH247" i="41"/>
  <c r="AI247" i="41" s="1"/>
  <c r="AJ426" i="41"/>
  <c r="AK426" i="41" s="1"/>
  <c r="AJ264" i="41"/>
  <c r="AJ468" i="41"/>
  <c r="AJ412" i="41"/>
  <c r="AJ296" i="41"/>
  <c r="AK296" i="41" s="1"/>
  <c r="AH468" i="41"/>
  <c r="AI468" i="41" s="1"/>
  <c r="AJ355" i="41"/>
  <c r="AJ235" i="41"/>
  <c r="AJ42" i="41"/>
  <c r="AJ90" i="41"/>
  <c r="AJ180" i="41"/>
  <c r="AJ150" i="41"/>
  <c r="AJ98" i="41"/>
  <c r="AJ194" i="41"/>
  <c r="AH256" i="41"/>
  <c r="AI256" i="41" s="1"/>
  <c r="AJ488" i="41"/>
  <c r="AJ472" i="41"/>
  <c r="AJ423" i="41"/>
  <c r="AJ390" i="41"/>
  <c r="AH329" i="41"/>
  <c r="AI329" i="41" s="1"/>
  <c r="AH375" i="41"/>
  <c r="AI375" i="41" s="1"/>
  <c r="AJ444" i="41"/>
  <c r="AK444" i="41" s="1"/>
  <c r="AJ392" i="41"/>
  <c r="AJ476" i="41"/>
  <c r="AK476" i="41" s="1"/>
  <c r="AJ280" i="41"/>
  <c r="AK280" i="41" s="1"/>
  <c r="AJ231" i="41"/>
  <c r="AJ425" i="41"/>
  <c r="AH412" i="41"/>
  <c r="AI412" i="41" s="1"/>
  <c r="AJ313" i="41"/>
  <c r="AJ121" i="41"/>
  <c r="AJ11" i="41"/>
  <c r="AJ88" i="41"/>
  <c r="AK88" i="41" s="1"/>
  <c r="AJ114" i="41"/>
  <c r="AJ110" i="41"/>
  <c r="AJ104" i="41"/>
  <c r="AJ190" i="41"/>
  <c r="AK190" i="41" s="1"/>
  <c r="AJ311" i="41"/>
  <c r="AK311" i="41" s="1"/>
  <c r="AJ357" i="41"/>
  <c r="AJ437" i="41"/>
  <c r="AJ445" i="41"/>
  <c r="AJ419" i="41"/>
  <c r="AJ451" i="41"/>
  <c r="AJ262" i="41"/>
  <c r="AJ221" i="41"/>
  <c r="AK221" i="41" s="1"/>
  <c r="R221" i="41" s="1"/>
  <c r="U221" i="41" s="1"/>
  <c r="V221" i="41" s="1"/>
  <c r="AJ209" i="41"/>
  <c r="AK209" i="41" s="1"/>
  <c r="AJ260" i="41"/>
  <c r="AJ278" i="41"/>
  <c r="AJ388" i="41"/>
  <c r="AJ288" i="41"/>
  <c r="AJ309" i="41"/>
  <c r="AJ201" i="41"/>
  <c r="AJ306" i="41"/>
  <c r="AJ321" i="41"/>
  <c r="AJ452" i="41"/>
  <c r="AJ46" i="41"/>
  <c r="AJ490" i="41"/>
  <c r="AK490" i="41" s="1"/>
  <c r="AJ323" i="41"/>
  <c r="AK323" i="41" s="1"/>
  <c r="AJ350" i="41"/>
  <c r="AK350" i="41" s="1"/>
  <c r="AJ33" i="41"/>
  <c r="AJ12" i="41"/>
  <c r="AJ68" i="41"/>
  <c r="AJ453" i="41"/>
  <c r="AJ478" i="41"/>
  <c r="AJ506" i="41"/>
  <c r="AK506" i="41" s="1"/>
  <c r="AJ147" i="41"/>
  <c r="AJ186" i="41"/>
  <c r="AJ217" i="41"/>
  <c r="AK217" i="41" s="1"/>
  <c r="AJ246" i="41"/>
  <c r="AH355" i="41"/>
  <c r="AI355" i="41" s="1"/>
  <c r="AJ407" i="41"/>
  <c r="AJ498" i="41"/>
  <c r="AJ82" i="41"/>
  <c r="AJ353" i="41"/>
  <c r="AJ185" i="41"/>
  <c r="AJ241" i="41"/>
  <c r="AJ251" i="41"/>
  <c r="AJ327" i="41"/>
  <c r="AK327" i="41" s="1"/>
  <c r="AJ151" i="41"/>
  <c r="AH144" i="41"/>
  <c r="AI144" i="41" s="1"/>
  <c r="AJ475" i="41"/>
  <c r="AH353" i="41"/>
  <c r="AI353" i="41" s="1"/>
  <c r="AJ140" i="41"/>
  <c r="AK140" i="41" s="1"/>
  <c r="AJ442" i="41"/>
  <c r="AJ94" i="41"/>
  <c r="AK94" i="41" s="1"/>
  <c r="AH62" i="41"/>
  <c r="AI62" i="41" s="1"/>
  <c r="AH121" i="41"/>
  <c r="AI121" i="41" s="1"/>
  <c r="AJ182" i="41"/>
  <c r="AJ154" i="41"/>
  <c r="AJ72" i="41"/>
  <c r="AJ198" i="41"/>
  <c r="AJ213" i="41"/>
  <c r="AK213" i="41" s="1"/>
  <c r="AH237" i="41"/>
  <c r="AI237" i="41" s="1"/>
  <c r="AJ305" i="41"/>
  <c r="AJ240" i="41"/>
  <c r="AJ292" i="41"/>
  <c r="AK292" i="41" s="1"/>
  <c r="AH231" i="41"/>
  <c r="AI231" i="41" s="1"/>
  <c r="AJ304" i="41"/>
  <c r="AJ315" i="41"/>
  <c r="AJ109" i="41"/>
  <c r="AJ410" i="41"/>
  <c r="AJ496" i="41"/>
  <c r="AJ465" i="41"/>
  <c r="AJ471" i="41"/>
  <c r="AJ467" i="41"/>
  <c r="AJ499" i="41"/>
  <c r="AJ446" i="41"/>
  <c r="AJ60" i="41"/>
  <c r="AK60" i="41" s="1"/>
  <c r="AJ136" i="41"/>
  <c r="AK136" i="41" s="1"/>
  <c r="AJ408" i="41"/>
  <c r="AJ32" i="41"/>
  <c r="AJ47" i="41"/>
  <c r="AJ212" i="41"/>
  <c r="AJ272" i="41"/>
  <c r="AJ225" i="41"/>
  <c r="AJ50" i="41"/>
  <c r="AJ148" i="41"/>
  <c r="AJ274" i="41"/>
  <c r="AJ282" i="41"/>
  <c r="AK282" i="41" s="1"/>
  <c r="AJ64" i="41"/>
  <c r="AJ149" i="41"/>
  <c r="AH201" i="41"/>
  <c r="AI201" i="41" s="1"/>
  <c r="AJ270" i="41"/>
  <c r="AK270" i="41" s="1"/>
  <c r="AJ249" i="41"/>
  <c r="AJ120" i="41"/>
  <c r="AH47" i="41"/>
  <c r="AI47" i="41" s="1"/>
  <c r="AJ58" i="41"/>
  <c r="AJ7" i="41"/>
  <c r="AJ130" i="41"/>
  <c r="AJ158" i="41"/>
  <c r="AK158" i="41" s="1"/>
  <c r="AJ178" i="41"/>
  <c r="AK178" i="41" s="1"/>
  <c r="AJ215" i="41"/>
  <c r="AJ267" i="41"/>
  <c r="AK267" i="41" s="1"/>
  <c r="AJ293" i="41"/>
  <c r="AJ330" i="41"/>
  <c r="AK330" i="41" s="1"/>
  <c r="AJ370" i="41"/>
  <c r="AK370" i="41" s="1"/>
  <c r="AJ187" i="41"/>
  <c r="AJ259" i="41"/>
  <c r="AJ420" i="41"/>
  <c r="AJ230" i="41"/>
  <c r="AH452" i="41"/>
  <c r="AI452" i="41" s="1"/>
  <c r="AJ480" i="41"/>
  <c r="AJ429" i="41"/>
  <c r="AJ459" i="41"/>
  <c r="AH165" i="41"/>
  <c r="AI165" i="41" s="1"/>
  <c r="AJ49" i="41"/>
  <c r="AJ52" i="41"/>
  <c r="AH365" i="41"/>
  <c r="AI365" i="41" s="1"/>
  <c r="AJ501" i="41"/>
  <c r="AJ359" i="41"/>
  <c r="AK359" i="41" s="1"/>
  <c r="AH64" i="41"/>
  <c r="AI64" i="41" s="1"/>
  <c r="AH78" i="41"/>
  <c r="AI78" i="41" s="1"/>
  <c r="AJ126" i="41"/>
  <c r="AJ118" i="41"/>
  <c r="AK118" i="41" s="1"/>
  <c r="AH146" i="41"/>
  <c r="AI146" i="41" s="1"/>
  <c r="AH98" i="41"/>
  <c r="AI98" i="41" s="1"/>
  <c r="AJ389" i="41"/>
  <c r="AJ414" i="41"/>
  <c r="AH432" i="41"/>
  <c r="AI432" i="41" s="1"/>
  <c r="AJ473" i="41"/>
  <c r="AJ80" i="41"/>
  <c r="AJ371" i="41"/>
  <c r="AK371" i="41" s="1"/>
  <c r="AJ13" i="41"/>
  <c r="AJ73" i="41"/>
  <c r="AH246" i="41"/>
  <c r="AI246" i="41" s="1"/>
  <c r="AJ326" i="41"/>
  <c r="AK326" i="41" s="1"/>
  <c r="AJ433" i="41"/>
  <c r="AJ253" i="41"/>
  <c r="AK253" i="41" s="1"/>
  <c r="AH82" i="41"/>
  <c r="AI82" i="41" s="1"/>
  <c r="AH125" i="41"/>
  <c r="AI125" i="41" s="1"/>
  <c r="AJ153" i="41"/>
  <c r="AH97" i="41"/>
  <c r="AI97" i="41" s="1"/>
  <c r="AH388" i="41"/>
  <c r="AI388" i="41" s="1"/>
  <c r="AJ229" i="41"/>
  <c r="AK229" i="41" s="1"/>
  <c r="AH260" i="41"/>
  <c r="AI260" i="41" s="1"/>
  <c r="AH185" i="41"/>
  <c r="AI185" i="41" s="1"/>
  <c r="AH193" i="41"/>
  <c r="AI193" i="41" s="1"/>
  <c r="AJ222" i="41"/>
  <c r="AJ383" i="41"/>
  <c r="AJ422" i="41"/>
  <c r="AH458" i="41"/>
  <c r="AI458" i="41" s="1"/>
  <c r="AJ469" i="41"/>
  <c r="AK469" i="41" s="1"/>
  <c r="AJ470" i="41"/>
  <c r="AJ504" i="41"/>
  <c r="AH478" i="41"/>
  <c r="AI478" i="41" s="1"/>
  <c r="AH335" i="41"/>
  <c r="AI335" i="41" s="1"/>
  <c r="AJ400" i="41"/>
  <c r="AJ162" i="41"/>
  <c r="AJ84" i="41"/>
  <c r="AJ123" i="41"/>
  <c r="AK123" i="41" s="1"/>
  <c r="AJ99" i="41"/>
  <c r="AK99" i="41" s="1"/>
  <c r="AJ379" i="41"/>
  <c r="AJ454" i="41"/>
  <c r="AJ448" i="41"/>
  <c r="AJ129" i="41"/>
  <c r="AK129" i="41" s="1"/>
  <c r="AI48" i="41"/>
  <c r="AH58" i="41"/>
  <c r="AI58" i="41" s="1"/>
  <c r="AJ93" i="41"/>
  <c r="AJ107" i="41"/>
  <c r="AJ71" i="41"/>
  <c r="AJ211" i="41"/>
  <c r="AH215" i="41"/>
  <c r="AI215" i="41" s="1"/>
  <c r="AH309" i="41"/>
  <c r="AI309" i="41" s="1"/>
  <c r="AJ214" i="41"/>
  <c r="AJ316" i="41"/>
  <c r="AJ385" i="41"/>
  <c r="AJ195" i="41"/>
  <c r="AK195" i="41" s="1"/>
  <c r="AJ218" i="41"/>
  <c r="AH442" i="41"/>
  <c r="AI442" i="41" s="1"/>
  <c r="AJ374" i="41"/>
  <c r="AH482" i="41"/>
  <c r="AI482" i="41" s="1"/>
  <c r="AH464" i="41"/>
  <c r="AI464" i="41" s="1"/>
  <c r="AJ502" i="41"/>
  <c r="AH406" i="41"/>
  <c r="AI406" i="41" s="1"/>
  <c r="AJ417" i="41"/>
  <c r="AH422" i="41"/>
  <c r="AI422" i="41" s="1"/>
  <c r="AJ411" i="41"/>
  <c r="AJ398" i="41"/>
  <c r="AK398" i="41" s="1"/>
  <c r="AH288" i="41"/>
  <c r="AI288" i="41" s="1"/>
  <c r="AJ268" i="41"/>
  <c r="AJ112" i="41"/>
  <c r="AJ380" i="41"/>
  <c r="AK380" i="41" s="1"/>
  <c r="AJ85" i="41"/>
  <c r="AJ134" i="41"/>
  <c r="AK134" i="41" s="1"/>
  <c r="AJ183" i="41"/>
  <c r="AH207" i="41"/>
  <c r="AI207" i="41" s="1"/>
  <c r="AJ106" i="41"/>
  <c r="AK106" i="41" s="1"/>
  <c r="AJ307" i="41"/>
  <c r="AJ354" i="41"/>
  <c r="AK354" i="41" s="1"/>
  <c r="AH480" i="41"/>
  <c r="AI480" i="41" s="1"/>
  <c r="AK480" i="41" s="1"/>
  <c r="AJ487" i="41"/>
  <c r="AK487" i="41" s="1"/>
  <c r="AJ174" i="41"/>
  <c r="AK174" i="41" s="1"/>
  <c r="AJ295" i="41"/>
  <c r="AJ299" i="41"/>
  <c r="AH230" i="41"/>
  <c r="AI230" i="41" s="1"/>
  <c r="AJ281" i="41"/>
  <c r="AJ409" i="41"/>
  <c r="AJ427" i="41"/>
  <c r="AH393" i="41"/>
  <c r="AI393" i="41" s="1"/>
  <c r="AJ395" i="41"/>
  <c r="AK395" i="41" s="1"/>
  <c r="AJ485" i="41"/>
  <c r="AK485" i="41" s="1"/>
  <c r="AJ117" i="41"/>
  <c r="AK117" i="41" s="1"/>
  <c r="AH501" i="41"/>
  <c r="AI501" i="41" s="1"/>
  <c r="AJ314" i="41"/>
  <c r="AH187" i="41"/>
  <c r="AI187" i="41" s="1"/>
  <c r="AH218" i="41"/>
  <c r="AI218" i="41" s="1"/>
  <c r="AH383" i="41"/>
  <c r="AI383" i="41" s="1"/>
  <c r="AJ403" i="41"/>
  <c r="AJ489" i="41"/>
  <c r="AK489" i="41" s="1"/>
  <c r="AI52" i="41"/>
  <c r="AJ188" i="41"/>
  <c r="AJ219" i="41"/>
  <c r="AK219" i="41" s="1"/>
  <c r="AH305" i="41"/>
  <c r="AI305" i="41" s="1"/>
  <c r="AJ362" i="41"/>
  <c r="AJ24" i="41"/>
  <c r="AJ131" i="41"/>
  <c r="AH71" i="41"/>
  <c r="AI71" i="41" s="1"/>
  <c r="AJ74" i="41"/>
  <c r="AJ324" i="41"/>
  <c r="AJ381" i="41"/>
  <c r="AK381" i="41" s="1"/>
  <c r="AJ167" i="41"/>
  <c r="AH222" i="41"/>
  <c r="AI222" i="41" s="1"/>
  <c r="AH379" i="41"/>
  <c r="AI379" i="41" s="1"/>
  <c r="AJ320" i="41"/>
  <c r="AH472" i="41"/>
  <c r="AI472" i="41" s="1"/>
  <c r="AH454" i="41"/>
  <c r="AI454" i="41" s="1"/>
  <c r="AJ175" i="41"/>
  <c r="AK175" i="41" s="1"/>
  <c r="AJ199" i="41"/>
  <c r="AK199" i="41" s="1"/>
  <c r="AJ95" i="41"/>
  <c r="AJ170" i="41"/>
  <c r="AJ102" i="41"/>
  <c r="AJ328" i="41"/>
  <c r="AJ418" i="41"/>
  <c r="AJ191" i="41"/>
  <c r="AK191" i="41" s="1"/>
  <c r="AJ203" i="41"/>
  <c r="AK203" i="41" s="1"/>
  <c r="AJ394" i="41"/>
  <c r="AJ477" i="41"/>
  <c r="AJ486" i="41"/>
  <c r="AK486" i="41" s="1"/>
  <c r="AH57" i="41"/>
  <c r="AI57" i="41" s="1"/>
  <c r="AH65" i="41"/>
  <c r="AI65" i="41" s="1"/>
  <c r="AH77" i="41"/>
  <c r="AI77" i="41" s="1"/>
  <c r="AH111" i="41"/>
  <c r="AI111" i="41" s="1"/>
  <c r="AH124" i="41"/>
  <c r="AI124" i="41" s="1"/>
  <c r="AH415" i="41"/>
  <c r="AI415" i="41" s="1"/>
  <c r="AH439" i="41"/>
  <c r="AI439" i="41" s="1"/>
  <c r="AH447" i="41"/>
  <c r="AI447" i="41" s="1"/>
  <c r="AH397" i="41"/>
  <c r="AI397" i="41" s="1"/>
  <c r="AH141" i="41"/>
  <c r="AI141" i="41" s="1"/>
  <c r="AH161" i="41"/>
  <c r="AI161" i="41" s="1"/>
  <c r="AH463" i="41"/>
  <c r="AI463" i="41" s="1"/>
  <c r="AH479" i="41"/>
  <c r="AI479" i="41" s="1"/>
  <c r="AH483" i="41"/>
  <c r="AI483" i="41" s="1"/>
  <c r="AH59" i="41"/>
  <c r="AI59" i="41" s="1"/>
  <c r="AH63" i="41"/>
  <c r="AI63" i="41" s="1"/>
  <c r="AH75" i="41"/>
  <c r="AI75" i="41" s="1"/>
  <c r="AH79" i="41"/>
  <c r="AI79" i="41" s="1"/>
  <c r="AH83" i="41"/>
  <c r="AI83" i="41" s="1"/>
  <c r="AH119" i="41"/>
  <c r="AI119" i="41" s="1"/>
  <c r="AH122" i="41"/>
  <c r="AI122" i="41" s="1"/>
  <c r="AH391" i="41"/>
  <c r="AI391" i="41" s="1"/>
  <c r="AH407" i="41"/>
  <c r="AI407" i="41" s="1"/>
  <c r="AH425" i="41"/>
  <c r="AI425" i="41" s="1"/>
  <c r="AH437" i="41"/>
  <c r="AI437" i="41" s="1"/>
  <c r="AH441" i="41"/>
  <c r="AI441" i="41" s="1"/>
  <c r="AH445" i="41"/>
  <c r="AI445" i="41" s="1"/>
  <c r="AH465" i="41"/>
  <c r="AI465" i="41" s="1"/>
  <c r="AH411" i="41"/>
  <c r="AI411" i="41" s="1"/>
  <c r="AH429" i="41"/>
  <c r="AI429" i="41" s="1"/>
  <c r="AH308" i="41"/>
  <c r="AI308" i="41" s="1"/>
  <c r="AH396" i="41"/>
  <c r="AI396" i="41" s="1"/>
  <c r="AJ57" i="41"/>
  <c r="AJ65" i="41"/>
  <c r="AJ89" i="41"/>
  <c r="AJ115" i="41"/>
  <c r="AJ91" i="41"/>
  <c r="AK91" i="41" s="1"/>
  <c r="AJ169" i="41"/>
  <c r="AK169" i="41" s="1"/>
  <c r="AJ220" i="41"/>
  <c r="AJ236" i="41"/>
  <c r="AJ250" i="41"/>
  <c r="AJ271" i="41"/>
  <c r="AK271" i="41" s="1"/>
  <c r="AJ277" i="41"/>
  <c r="AJ289" i="41"/>
  <c r="AJ308" i="41"/>
  <c r="AH360" i="41"/>
  <c r="AI360" i="41" s="1"/>
  <c r="AJ100" i="41"/>
  <c r="AJ238" i="41"/>
  <c r="AJ287" i="41"/>
  <c r="AJ346" i="41"/>
  <c r="AJ364" i="41"/>
  <c r="AK364" i="41" s="1"/>
  <c r="AJ378" i="41"/>
  <c r="AK378" i="41" s="1"/>
  <c r="AJ291" i="41"/>
  <c r="AJ360" i="41"/>
  <c r="AJ265" i="41"/>
  <c r="AJ157" i="41"/>
  <c r="AH257" i="41"/>
  <c r="AI257" i="41" s="1"/>
  <c r="AJ184" i="41"/>
  <c r="AH228" i="41"/>
  <c r="AI228" i="41" s="1"/>
  <c r="AJ261" i="41"/>
  <c r="AJ352" i="41"/>
  <c r="AJ415" i="41"/>
  <c r="AJ439" i="41"/>
  <c r="AJ447" i="41"/>
  <c r="AJ434" i="41"/>
  <c r="AJ192" i="41"/>
  <c r="AH504" i="41"/>
  <c r="AI504" i="41" s="1"/>
  <c r="AJ232" i="41"/>
  <c r="AJ449" i="41"/>
  <c r="AK449" i="41" s="1"/>
  <c r="AJ503" i="41"/>
  <c r="AH488" i="41"/>
  <c r="AI488" i="41" s="1"/>
  <c r="AK488" i="41" s="1"/>
  <c r="AJ171" i="41"/>
  <c r="AJ67" i="41"/>
  <c r="AJ113" i="41"/>
  <c r="AK113" i="41" s="1"/>
  <c r="AJ96" i="41"/>
  <c r="AJ105" i="41"/>
  <c r="AK105" i="41" s="1"/>
  <c r="AJ155" i="41"/>
  <c r="AH72" i="41"/>
  <c r="AI72" i="41" s="1"/>
  <c r="AH89" i="41"/>
  <c r="AI89" i="41" s="1"/>
  <c r="AH115" i="41"/>
  <c r="AI115" i="41" s="1"/>
  <c r="AJ141" i="41"/>
  <c r="AJ161" i="41"/>
  <c r="AJ87" i="41"/>
  <c r="AK87" i="41" s="1"/>
  <c r="AH177" i="41"/>
  <c r="AI177" i="41" s="1"/>
  <c r="AJ69" i="41"/>
  <c r="AH160" i="41"/>
  <c r="AI160" i="41" s="1"/>
  <c r="AJ226" i="41"/>
  <c r="AK226" i="41" s="1"/>
  <c r="AJ234" i="41"/>
  <c r="AK234" i="41" s="1"/>
  <c r="AJ242" i="41"/>
  <c r="AK242" i="41" s="1"/>
  <c r="AJ248" i="41"/>
  <c r="AK248" i="41" s="1"/>
  <c r="AJ255" i="41"/>
  <c r="AK255" i="41" s="1"/>
  <c r="AJ269" i="41"/>
  <c r="AJ275" i="41"/>
  <c r="AH291" i="41"/>
  <c r="AI291" i="41" s="1"/>
  <c r="AH336" i="41"/>
  <c r="AI336" i="41" s="1"/>
  <c r="AH368" i="41"/>
  <c r="AI368" i="41" s="1"/>
  <c r="AH289" i="41"/>
  <c r="AI289" i="41" s="1"/>
  <c r="AJ179" i="41"/>
  <c r="AK179" i="41" s="1"/>
  <c r="AH238" i="41"/>
  <c r="AI238" i="41" s="1"/>
  <c r="AJ252" i="41"/>
  <c r="AH287" i="41"/>
  <c r="AI287" i="41" s="1"/>
  <c r="AJ204" i="41"/>
  <c r="AH265" i="41"/>
  <c r="AI265" i="41" s="1"/>
  <c r="AJ303" i="41"/>
  <c r="AK303" i="41" s="1"/>
  <c r="AJ310" i="41"/>
  <c r="AK310" i="41" s="1"/>
  <c r="AJ224" i="41"/>
  <c r="AJ344" i="41"/>
  <c r="AH340" i="41"/>
  <c r="AI340" i="41" s="1"/>
  <c r="AH356" i="41"/>
  <c r="AI356" i="41" s="1"/>
  <c r="AH279" i="41"/>
  <c r="AI279" i="41" s="1"/>
  <c r="AH261" i="41"/>
  <c r="AI261" i="41" s="1"/>
  <c r="AH342" i="41"/>
  <c r="AI342" i="41" s="1"/>
  <c r="AJ348" i="41"/>
  <c r="AH352" i="41"/>
  <c r="AI352" i="41" s="1"/>
  <c r="AJ358" i="41"/>
  <c r="AK358" i="41" s="1"/>
  <c r="AJ396" i="41"/>
  <c r="AH496" i="41"/>
  <c r="AI496" i="41" s="1"/>
  <c r="AH470" i="41"/>
  <c r="AI470" i="41" s="1"/>
  <c r="AH502" i="41"/>
  <c r="AI502" i="41" s="1"/>
  <c r="AK502" i="41" s="1"/>
  <c r="AH424" i="41"/>
  <c r="AI424" i="41" s="1"/>
  <c r="AJ463" i="41"/>
  <c r="AJ479" i="41"/>
  <c r="AH232" i="41"/>
  <c r="AI232" i="41" s="1"/>
  <c r="AH418" i="41"/>
  <c r="AI418" i="41" s="1"/>
  <c r="AJ431" i="41"/>
  <c r="AJ200" i="41"/>
  <c r="AK200" i="41" s="1"/>
  <c r="AH318" i="41"/>
  <c r="AI318" i="41" s="1"/>
  <c r="AH474" i="41"/>
  <c r="AI474" i="41" s="1"/>
  <c r="AK474" i="41" s="1"/>
  <c r="AJ366" i="41"/>
  <c r="AJ401" i="41"/>
  <c r="AJ483" i="41"/>
  <c r="AJ495" i="41"/>
  <c r="AK495" i="41" s="1"/>
  <c r="AJ404" i="41"/>
  <c r="AK404" i="41" s="1"/>
  <c r="AJ462" i="41"/>
  <c r="AK462" i="41" s="1"/>
  <c r="AH493" i="41"/>
  <c r="AI493" i="41" s="1"/>
  <c r="AH61" i="41"/>
  <c r="AI61" i="41" s="1"/>
  <c r="AH81" i="41"/>
  <c r="AI81" i="41" s="1"/>
  <c r="AH107" i="41"/>
  <c r="AI107" i="41" s="1"/>
  <c r="AH399" i="41"/>
  <c r="AI399" i="41" s="1"/>
  <c r="AH435" i="41"/>
  <c r="AI435" i="41" s="1"/>
  <c r="AH443" i="41"/>
  <c r="AI443" i="41" s="1"/>
  <c r="AH455" i="41"/>
  <c r="AI455" i="41" s="1"/>
  <c r="AH421" i="41"/>
  <c r="AI421" i="41" s="1"/>
  <c r="AH457" i="41"/>
  <c r="AI457" i="41" s="1"/>
  <c r="AH481" i="41"/>
  <c r="AI481" i="41" s="1"/>
  <c r="AH137" i="41"/>
  <c r="AI137" i="41" s="1"/>
  <c r="AH145" i="41"/>
  <c r="AI145" i="41" s="1"/>
  <c r="AH297" i="41"/>
  <c r="AI297" i="41" s="1"/>
  <c r="AH505" i="41"/>
  <c r="AI505" i="41" s="1"/>
  <c r="AH467" i="41"/>
  <c r="AI467" i="41" s="1"/>
  <c r="AH499" i="41"/>
  <c r="AI499" i="41" s="1"/>
  <c r="AH139" i="41"/>
  <c r="AI139" i="41" s="1"/>
  <c r="AH143" i="41"/>
  <c r="AI143" i="41" s="1"/>
  <c r="AH147" i="41"/>
  <c r="AI147" i="41" s="1"/>
  <c r="AH183" i="41"/>
  <c r="AI183" i="41" s="1"/>
  <c r="AH389" i="41"/>
  <c r="AI389" i="41" s="1"/>
  <c r="AH403" i="41"/>
  <c r="AI403" i="41" s="1"/>
  <c r="AH471" i="41"/>
  <c r="AI471" i="41" s="1"/>
  <c r="AK471" i="41" s="1"/>
  <c r="AH405" i="41"/>
  <c r="AI405" i="41" s="1"/>
  <c r="AH423" i="41"/>
  <c r="AI423" i="41" s="1"/>
  <c r="AH451" i="41"/>
  <c r="AI451" i="41" s="1"/>
  <c r="AK451" i="41" s="1"/>
  <c r="AH459" i="41"/>
  <c r="AI459" i="41" s="1"/>
  <c r="AK459" i="41" s="1"/>
  <c r="AH475" i="41"/>
  <c r="AI475" i="41" s="1"/>
  <c r="AK475" i="41" s="1"/>
  <c r="AH491" i="41"/>
  <c r="AI491" i="41" s="1"/>
  <c r="AK491" i="41" s="1"/>
  <c r="AH473" i="41"/>
  <c r="AI473" i="41" s="1"/>
  <c r="AH433" i="41"/>
  <c r="AI433" i="41" s="1"/>
  <c r="AH103" i="41"/>
  <c r="AI103" i="41" s="1"/>
  <c r="AH346" i="41"/>
  <c r="AI346" i="41" s="1"/>
  <c r="AH387" i="41"/>
  <c r="AI387" i="41" s="1"/>
  <c r="AJ61" i="41"/>
  <c r="AJ77" i="41"/>
  <c r="AJ111" i="41"/>
  <c r="AJ124" i="41"/>
  <c r="AJ108" i="41"/>
  <c r="AJ177" i="41"/>
  <c r="AJ228" i="41"/>
  <c r="AJ244" i="41"/>
  <c r="AK244" i="41" s="1"/>
  <c r="R244" i="41" s="1"/>
  <c r="AJ254" i="41"/>
  <c r="AK254" i="41" s="1"/>
  <c r="AJ263" i="41"/>
  <c r="AK263" i="41" s="1"/>
  <c r="AJ285" i="41"/>
  <c r="AK285" i="41" s="1"/>
  <c r="AJ301" i="41"/>
  <c r="AJ103" i="41"/>
  <c r="AJ318" i="41"/>
  <c r="AJ356" i="41"/>
  <c r="AJ372" i="41"/>
  <c r="AJ387" i="41"/>
  <c r="AJ322" i="41"/>
  <c r="AJ368" i="41"/>
  <c r="AH151" i="41"/>
  <c r="AI151" i="41" s="1"/>
  <c r="AJ196" i="41"/>
  <c r="AJ128" i="41"/>
  <c r="AK128" i="41" s="1"/>
  <c r="AJ159" i="41"/>
  <c r="AK159" i="41" s="1"/>
  <c r="AJ298" i="41"/>
  <c r="AH372" i="41"/>
  <c r="AI372" i="41" s="1"/>
  <c r="AJ279" i="41"/>
  <c r="AJ208" i="41"/>
  <c r="AK208" i="41" s="1"/>
  <c r="AJ399" i="41"/>
  <c r="AJ435" i="41"/>
  <c r="AJ443" i="41"/>
  <c r="AJ455" i="41"/>
  <c r="AH236" i="41"/>
  <c r="AI236" i="41" s="1"/>
  <c r="AJ397" i="41"/>
  <c r="AJ421" i="41"/>
  <c r="AJ457" i="41"/>
  <c r="AJ497" i="41"/>
  <c r="AK497" i="41" s="1"/>
  <c r="AJ413" i="41"/>
  <c r="AJ461" i="41"/>
  <c r="AJ493" i="41"/>
  <c r="AH456" i="41"/>
  <c r="AI456" i="41" s="1"/>
  <c r="AJ494" i="41"/>
  <c r="AK494" i="41" s="1"/>
  <c r="AJ59" i="41"/>
  <c r="AJ63" i="41"/>
  <c r="AJ75" i="41"/>
  <c r="AJ79" i="41"/>
  <c r="AJ83" i="41"/>
  <c r="AJ119" i="41"/>
  <c r="AJ122" i="41"/>
  <c r="AH110" i="41"/>
  <c r="AI110" i="41" s="1"/>
  <c r="AH104" i="41"/>
  <c r="AI104" i="41" s="1"/>
  <c r="AJ127" i="41"/>
  <c r="AK127" i="41" s="1"/>
  <c r="AJ101" i="41"/>
  <c r="AJ132" i="41"/>
  <c r="AJ173" i="41"/>
  <c r="AJ181" i="41"/>
  <c r="AJ135" i="41"/>
  <c r="AH322" i="41"/>
  <c r="AI322" i="41" s="1"/>
  <c r="AH149" i="41"/>
  <c r="AI149" i="41" s="1"/>
  <c r="AH312" i="41"/>
  <c r="AI312" i="41" s="1"/>
  <c r="AH298" i="41"/>
  <c r="AI298" i="41" s="1"/>
  <c r="AH163" i="41"/>
  <c r="AI163" i="41" s="1"/>
  <c r="AH155" i="41"/>
  <c r="AI155" i="41" s="1"/>
  <c r="AH498" i="41"/>
  <c r="AI498" i="41" s="1"/>
  <c r="AH401" i="41"/>
  <c r="AI401" i="41" s="1"/>
  <c r="AH419" i="41"/>
  <c r="AI419" i="41" s="1"/>
  <c r="AH453" i="41"/>
  <c r="AI453" i="41" s="1"/>
  <c r="AH413" i="41"/>
  <c r="AI413" i="41" s="1"/>
  <c r="AH461" i="41"/>
  <c r="AI461" i="41" s="1"/>
  <c r="AH477" i="41"/>
  <c r="AI477" i="41" s="1"/>
  <c r="AH31" i="41"/>
  <c r="AI31" i="41" s="1"/>
  <c r="AI12" i="41"/>
  <c r="AJ31" i="41"/>
  <c r="AJ17" i="41"/>
  <c r="AH7" i="41"/>
  <c r="AI7" i="41" s="1"/>
  <c r="AI24" i="41"/>
  <c r="AI11" i="41"/>
  <c r="AF10" i="42"/>
  <c r="AI10" i="42" s="1"/>
  <c r="A4" i="38"/>
  <c r="A3" i="38"/>
  <c r="S10" i="46" l="1"/>
  <c r="R10" i="46" s="1"/>
  <c r="Q10" i="46" s="1"/>
  <c r="P10" i="46" s="1"/>
  <c r="V10" i="46" s="1"/>
  <c r="U10" i="46" s="1"/>
  <c r="T10" i="46" s="1"/>
  <c r="AK499" i="41"/>
  <c r="R499" i="41" s="1"/>
  <c r="U499" i="41" s="1"/>
  <c r="AK472" i="41"/>
  <c r="R472" i="41" s="1"/>
  <c r="U472" i="41" s="1"/>
  <c r="AK456" i="41"/>
  <c r="R456" i="41" s="1"/>
  <c r="U456" i="41" s="1"/>
  <c r="AK505" i="41"/>
  <c r="R505" i="41" s="1"/>
  <c r="U505" i="41" s="1"/>
  <c r="AK463" i="41"/>
  <c r="R463" i="41" s="1"/>
  <c r="U463" i="41" s="1"/>
  <c r="AK496" i="41"/>
  <c r="R496" i="41" s="1"/>
  <c r="U496" i="41" s="1"/>
  <c r="AK477" i="41"/>
  <c r="R477" i="41" s="1"/>
  <c r="U477" i="41" s="1"/>
  <c r="AK467" i="41"/>
  <c r="R467" i="41" s="1"/>
  <c r="U467" i="41" s="1"/>
  <c r="AK484" i="41"/>
  <c r="R484" i="41" s="1"/>
  <c r="U484" i="41" s="1"/>
  <c r="AK455" i="41"/>
  <c r="R455" i="41" s="1"/>
  <c r="U455" i="41" s="1"/>
  <c r="AK483" i="41"/>
  <c r="R483" i="41" s="1"/>
  <c r="U483" i="41" s="1"/>
  <c r="AK493" i="41"/>
  <c r="R493" i="41" s="1"/>
  <c r="U493" i="41" s="1"/>
  <c r="AK492" i="41"/>
  <c r="R492" i="41" s="1"/>
  <c r="U492" i="41" s="1"/>
  <c r="AK458" i="41"/>
  <c r="R458" i="41" s="1"/>
  <c r="U458" i="41" s="1"/>
  <c r="AK498" i="41"/>
  <c r="R498" i="41" s="1"/>
  <c r="U498" i="41" s="1"/>
  <c r="AK454" i="41"/>
  <c r="R454" i="41" s="1"/>
  <c r="U454" i="41" s="1"/>
  <c r="AK461" i="41"/>
  <c r="R461" i="41" s="1"/>
  <c r="U461" i="41" s="1"/>
  <c r="AK473" i="41"/>
  <c r="R473" i="41" s="1"/>
  <c r="U473" i="41" s="1"/>
  <c r="AK481" i="41"/>
  <c r="R481" i="41" s="1"/>
  <c r="U481" i="41" s="1"/>
  <c r="AK479" i="41"/>
  <c r="R479" i="41" s="1"/>
  <c r="U479" i="41" s="1"/>
  <c r="AK501" i="41"/>
  <c r="R501" i="41" s="1"/>
  <c r="U501" i="41" s="1"/>
  <c r="AK482" i="41"/>
  <c r="R482" i="41" s="1"/>
  <c r="U482" i="41" s="1"/>
  <c r="AK468" i="41"/>
  <c r="AK466" i="41"/>
  <c r="R466" i="41" s="1"/>
  <c r="U466" i="41" s="1"/>
  <c r="AK453" i="41"/>
  <c r="R453" i="41" s="1"/>
  <c r="U453" i="41" s="1"/>
  <c r="AK478" i="41"/>
  <c r="R478" i="41" s="1"/>
  <c r="U478" i="41" s="1"/>
  <c r="AK452" i="41"/>
  <c r="R452" i="41" s="1"/>
  <c r="U452" i="41" s="1"/>
  <c r="AK457" i="41"/>
  <c r="R457" i="41" s="1"/>
  <c r="U457" i="41" s="1"/>
  <c r="AK470" i="41"/>
  <c r="R470" i="41" s="1"/>
  <c r="U470" i="41" s="1"/>
  <c r="AK464" i="41"/>
  <c r="R464" i="41" s="1"/>
  <c r="U464" i="41" s="1"/>
  <c r="AK465" i="41"/>
  <c r="R465" i="41" s="1"/>
  <c r="U465" i="41" s="1"/>
  <c r="AK232" i="41"/>
  <c r="R232" i="41" s="1"/>
  <c r="U232" i="41" s="1"/>
  <c r="V232" i="41" s="1"/>
  <c r="AK375" i="41"/>
  <c r="R375" i="41" s="1"/>
  <c r="AK433" i="41"/>
  <c r="R433" i="41" s="1"/>
  <c r="R468" i="41"/>
  <c r="U468" i="41" s="1"/>
  <c r="AK353" i="41"/>
  <c r="R353" i="41" s="1"/>
  <c r="AK422" i="41"/>
  <c r="R422" i="41" s="1"/>
  <c r="U422" i="41" s="1"/>
  <c r="AK336" i="41"/>
  <c r="R336" i="41" s="1"/>
  <c r="U336" i="41" s="1"/>
  <c r="AK442" i="41"/>
  <c r="R442" i="41" s="1"/>
  <c r="U442" i="41" s="1"/>
  <c r="V442" i="41" s="1"/>
  <c r="R7" i="46"/>
  <c r="Q7" i="46" s="1"/>
  <c r="T7" i="46" s="1"/>
  <c r="AK151" i="41"/>
  <c r="R151" i="41" s="1"/>
  <c r="AK305" i="41"/>
  <c r="R305" i="41" s="1"/>
  <c r="R475" i="41"/>
  <c r="U475" i="41" s="1"/>
  <c r="AK72" i="41"/>
  <c r="R72" i="41" s="1"/>
  <c r="R451" i="41"/>
  <c r="U451" i="41" s="1"/>
  <c r="AK238" i="41"/>
  <c r="R238" i="41" s="1"/>
  <c r="U238" i="41" s="1"/>
  <c r="V238" i="41" s="1"/>
  <c r="AK187" i="41"/>
  <c r="R187" i="41" s="1"/>
  <c r="U187" i="41" s="1"/>
  <c r="AK115" i="41"/>
  <c r="R115" i="41" s="1"/>
  <c r="U115" i="41" s="1"/>
  <c r="AK58" i="41"/>
  <c r="R58" i="41" s="1"/>
  <c r="AK403" i="41"/>
  <c r="R403" i="41" s="1"/>
  <c r="U403" i="41" s="1"/>
  <c r="P18" i="46"/>
  <c r="T18" i="46"/>
  <c r="R14" i="46"/>
  <c r="Q14" i="46" s="1"/>
  <c r="T14" i="46" s="1"/>
  <c r="AH12" i="46"/>
  <c r="R12" i="46" s="1"/>
  <c r="Q12" i="46" s="1"/>
  <c r="P12" i="46" s="1"/>
  <c r="AK110" i="41"/>
  <c r="R110" i="41" s="1"/>
  <c r="AK425" i="41"/>
  <c r="R425" i="41" s="1"/>
  <c r="U425" i="41" s="1"/>
  <c r="AK355" i="41"/>
  <c r="R355" i="41" s="1"/>
  <c r="U355" i="41" s="1"/>
  <c r="AK445" i="41"/>
  <c r="R445" i="41" s="1"/>
  <c r="U445" i="41" s="1"/>
  <c r="V445" i="41" s="1"/>
  <c r="V343" i="41"/>
  <c r="U436" i="41"/>
  <c r="V436" i="41" s="1"/>
  <c r="U166" i="41"/>
  <c r="V166" i="41" s="1"/>
  <c r="U244" i="41"/>
  <c r="V244" i="41" s="1"/>
  <c r="U243" i="41"/>
  <c r="V243" i="41" s="1"/>
  <c r="AK155" i="41"/>
  <c r="R155" i="41" s="1"/>
  <c r="R474" i="41"/>
  <c r="U474" i="41" s="1"/>
  <c r="AK104" i="41"/>
  <c r="R104" i="41" s="1"/>
  <c r="R480" i="41"/>
  <c r="U480" i="41" s="1"/>
  <c r="AK207" i="41"/>
  <c r="R207" i="41" s="1"/>
  <c r="AK288" i="41"/>
  <c r="R288" i="41" s="1"/>
  <c r="AK82" i="41"/>
  <c r="R82" i="41" s="1"/>
  <c r="AK62" i="41"/>
  <c r="R62" i="41" s="1"/>
  <c r="U62" i="41" s="1"/>
  <c r="V62" i="41" s="1"/>
  <c r="AK256" i="41"/>
  <c r="R256" i="41" s="1"/>
  <c r="U256" i="41" s="1"/>
  <c r="AK247" i="41"/>
  <c r="R247" i="41" s="1"/>
  <c r="AK383" i="41"/>
  <c r="R383" i="41" s="1"/>
  <c r="U383" i="41" s="1"/>
  <c r="AK405" i="41"/>
  <c r="R405" i="41" s="1"/>
  <c r="U405" i="41" s="1"/>
  <c r="AK297" i="41"/>
  <c r="R297" i="41" s="1"/>
  <c r="U297" i="41" s="1"/>
  <c r="AK78" i="41"/>
  <c r="R78" i="41" s="1"/>
  <c r="AK145" i="41"/>
  <c r="R145" i="41" s="1"/>
  <c r="AK391" i="41"/>
  <c r="R391" i="41" s="1"/>
  <c r="U391" i="41" s="1"/>
  <c r="AK7" i="41"/>
  <c r="R491" i="41"/>
  <c r="U491" i="41" s="1"/>
  <c r="AK137" i="41"/>
  <c r="R137" i="41" s="1"/>
  <c r="U137" i="41" s="1"/>
  <c r="V137" i="41" s="1"/>
  <c r="AK287" i="41"/>
  <c r="R287" i="41" s="1"/>
  <c r="AK411" i="41"/>
  <c r="R411" i="41" s="1"/>
  <c r="U411" i="41" s="1"/>
  <c r="AK407" i="41"/>
  <c r="R407" i="41" s="1"/>
  <c r="U407" i="41" s="1"/>
  <c r="AK393" i="41"/>
  <c r="R393" i="41" s="1"/>
  <c r="U393" i="41" s="1"/>
  <c r="AK48" i="41"/>
  <c r="AK260" i="41"/>
  <c r="R260" i="41" s="1"/>
  <c r="AK97" i="41"/>
  <c r="R97" i="41" s="1"/>
  <c r="AK98" i="41"/>
  <c r="R98" i="41" s="1"/>
  <c r="AK31" i="41"/>
  <c r="AK79" i="41"/>
  <c r="R79" i="41" s="1"/>
  <c r="U79" i="41" s="1"/>
  <c r="V79" i="41" s="1"/>
  <c r="AK413" i="41"/>
  <c r="R413" i="41" s="1"/>
  <c r="U413" i="41" s="1"/>
  <c r="AK423" i="41"/>
  <c r="R423" i="41" s="1"/>
  <c r="U423" i="41" s="1"/>
  <c r="AK279" i="41"/>
  <c r="R279" i="41" s="1"/>
  <c r="AK340" i="41"/>
  <c r="R340" i="41" s="1"/>
  <c r="U340" i="41" s="1"/>
  <c r="AK228" i="41"/>
  <c r="R228" i="41" s="1"/>
  <c r="U228" i="41" s="1"/>
  <c r="V228" i="41" s="1"/>
  <c r="AK429" i="41"/>
  <c r="R429" i="41" s="1"/>
  <c r="U429" i="41" s="1"/>
  <c r="AK119" i="41"/>
  <c r="R119" i="41" s="1"/>
  <c r="U119" i="41" s="1"/>
  <c r="AK63" i="41"/>
  <c r="R63" i="41" s="1"/>
  <c r="AK185" i="41"/>
  <c r="R185" i="41" s="1"/>
  <c r="U185" i="41" s="1"/>
  <c r="AK432" i="41"/>
  <c r="R432" i="41" s="1"/>
  <c r="AK144" i="41"/>
  <c r="R144" i="41" s="1"/>
  <c r="AK419" i="41"/>
  <c r="R419" i="41" s="1"/>
  <c r="U419" i="41" s="1"/>
  <c r="V419" i="41" s="1"/>
  <c r="AK125" i="41"/>
  <c r="R125" i="41" s="1"/>
  <c r="AK322" i="41"/>
  <c r="R322" i="41" s="1"/>
  <c r="AK107" i="41"/>
  <c r="R107" i="41" s="1"/>
  <c r="U107" i="41" s="1"/>
  <c r="V107" i="41" s="1"/>
  <c r="R502" i="41"/>
  <c r="U502" i="41" s="1"/>
  <c r="AK352" i="41"/>
  <c r="R352" i="41" s="1"/>
  <c r="U352" i="41" s="1"/>
  <c r="AK160" i="41"/>
  <c r="R160" i="41" s="1"/>
  <c r="U160" i="41" s="1"/>
  <c r="AK89" i="41"/>
  <c r="R89" i="41" s="1"/>
  <c r="AK437" i="41"/>
  <c r="R437" i="41" s="1"/>
  <c r="AK75" i="41"/>
  <c r="R75" i="41" s="1"/>
  <c r="U75" i="41" s="1"/>
  <c r="AK52" i="41"/>
  <c r="AK215" i="41"/>
  <c r="R215" i="41" s="1"/>
  <c r="U215" i="41" s="1"/>
  <c r="V215" i="41" s="1"/>
  <c r="AK201" i="41"/>
  <c r="R201" i="41" s="1"/>
  <c r="AK412" i="41"/>
  <c r="R412" i="41" s="1"/>
  <c r="U412" i="41" s="1"/>
  <c r="AK193" i="41"/>
  <c r="R193" i="41" s="1"/>
  <c r="AK389" i="41"/>
  <c r="R389" i="41" s="1"/>
  <c r="U389" i="41" s="1"/>
  <c r="AK318" i="41"/>
  <c r="R318" i="41" s="1"/>
  <c r="U318" i="41" s="1"/>
  <c r="V318" i="41" s="1"/>
  <c r="AK342" i="41"/>
  <c r="R342" i="41" s="1"/>
  <c r="U342" i="41" s="1"/>
  <c r="AK177" i="41"/>
  <c r="R177" i="41" s="1"/>
  <c r="AK236" i="41"/>
  <c r="R236" i="41" s="1"/>
  <c r="U236" i="41" s="1"/>
  <c r="V236" i="41" s="1"/>
  <c r="AK396" i="41"/>
  <c r="R396" i="41" s="1"/>
  <c r="U396" i="41" s="1"/>
  <c r="AK83" i="41"/>
  <c r="R83" i="41" s="1"/>
  <c r="AK59" i="41"/>
  <c r="R59" i="41" s="1"/>
  <c r="AK161" i="41"/>
  <c r="R161" i="41" s="1"/>
  <c r="U161" i="41" s="1"/>
  <c r="AK447" i="41"/>
  <c r="R447" i="41" s="1"/>
  <c r="U447" i="41" s="1"/>
  <c r="V447" i="41" s="1"/>
  <c r="AK218" i="41"/>
  <c r="R218" i="41" s="1"/>
  <c r="U218" i="41" s="1"/>
  <c r="V218" i="41" s="1"/>
  <c r="AK230" i="41"/>
  <c r="R230" i="41" s="1"/>
  <c r="U230" i="41" s="1"/>
  <c r="V230" i="41" s="1"/>
  <c r="AK365" i="41"/>
  <c r="R365" i="41" s="1"/>
  <c r="AK237" i="41"/>
  <c r="R237" i="41" s="1"/>
  <c r="U237" i="41" s="1"/>
  <c r="V237" i="41" s="1"/>
  <c r="AK369" i="41"/>
  <c r="R369" i="41" s="1"/>
  <c r="AK11" i="41"/>
  <c r="AK261" i="41"/>
  <c r="R261" i="41" s="1"/>
  <c r="AK441" i="41"/>
  <c r="R441" i="41" s="1"/>
  <c r="U441" i="41" s="1"/>
  <c r="V441" i="41" s="1"/>
  <c r="AK435" i="41"/>
  <c r="R435" i="41" s="1"/>
  <c r="U435" i="41" s="1"/>
  <c r="AK443" i="41"/>
  <c r="R443" i="41" s="1"/>
  <c r="U443" i="41" s="1"/>
  <c r="V443" i="41" s="1"/>
  <c r="AK368" i="41"/>
  <c r="R368" i="41" s="1"/>
  <c r="AK397" i="41"/>
  <c r="R397" i="41" s="1"/>
  <c r="U397" i="41" s="1"/>
  <c r="AK406" i="41"/>
  <c r="R406" i="41" s="1"/>
  <c r="U406" i="41" s="1"/>
  <c r="AK231" i="41"/>
  <c r="R231" i="41" s="1"/>
  <c r="U231" i="41" s="1"/>
  <c r="V231" i="41" s="1"/>
  <c r="AK24" i="41"/>
  <c r="AK401" i="41"/>
  <c r="R401" i="41" s="1"/>
  <c r="U401" i="41" s="1"/>
  <c r="AK387" i="41"/>
  <c r="R387" i="41" s="1"/>
  <c r="R471" i="41"/>
  <c r="U471" i="41" s="1"/>
  <c r="AK183" i="41"/>
  <c r="R183" i="41" s="1"/>
  <c r="U183" i="41" s="1"/>
  <c r="AK421" i="41"/>
  <c r="R421" i="41" s="1"/>
  <c r="U421" i="41" s="1"/>
  <c r="AK399" i="41"/>
  <c r="R399" i="41" s="1"/>
  <c r="U399" i="41" s="1"/>
  <c r="AK61" i="41"/>
  <c r="R61" i="41" s="1"/>
  <c r="AK424" i="41"/>
  <c r="R424" i="41" s="1"/>
  <c r="U424" i="41" s="1"/>
  <c r="AK291" i="41"/>
  <c r="R291" i="41" s="1"/>
  <c r="AK257" i="41"/>
  <c r="R257" i="41" s="1"/>
  <c r="U257" i="41" s="1"/>
  <c r="AK141" i="41"/>
  <c r="R141" i="41" s="1"/>
  <c r="U141" i="41" s="1"/>
  <c r="V141" i="41" s="1"/>
  <c r="AK77" i="41"/>
  <c r="R77" i="41" s="1"/>
  <c r="AK379" i="41"/>
  <c r="R379" i="41" s="1"/>
  <c r="AK309" i="41"/>
  <c r="R309" i="41" s="1"/>
  <c r="AK335" i="41"/>
  <c r="R335" i="41" s="1"/>
  <c r="U335" i="41" s="1"/>
  <c r="AK222" i="41"/>
  <c r="R222" i="41" s="1"/>
  <c r="U222" i="41" s="1"/>
  <c r="V222" i="41" s="1"/>
  <c r="AK246" i="41"/>
  <c r="R246" i="41" s="1"/>
  <c r="U246" i="41" s="1"/>
  <c r="AK146" i="41"/>
  <c r="R146" i="41" s="1"/>
  <c r="AK64" i="41"/>
  <c r="R64" i="41" s="1"/>
  <c r="U64" i="41" s="1"/>
  <c r="V64" i="41" s="1"/>
  <c r="AK47" i="41"/>
  <c r="AK205" i="41"/>
  <c r="R205" i="41" s="1"/>
  <c r="U205" i="41" s="1"/>
  <c r="AK298" i="41"/>
  <c r="R298" i="41" s="1"/>
  <c r="AK143" i="41"/>
  <c r="R143" i="41" s="1"/>
  <c r="AK418" i="41"/>
  <c r="R418" i="41" s="1"/>
  <c r="U418" i="41" s="1"/>
  <c r="AK124" i="41"/>
  <c r="R124" i="41" s="1"/>
  <c r="AK329" i="41"/>
  <c r="R329" i="41" s="1"/>
  <c r="U329" i="41" s="1"/>
  <c r="AK12" i="41"/>
  <c r="AK163" i="41"/>
  <c r="R163" i="41" s="1"/>
  <c r="U163" i="41" s="1"/>
  <c r="AK372" i="41"/>
  <c r="R372" i="41" s="1"/>
  <c r="AK346" i="41"/>
  <c r="R346" i="41" s="1"/>
  <c r="U346" i="41" s="1"/>
  <c r="AK147" i="41"/>
  <c r="R147" i="41" s="1"/>
  <c r="AK356" i="41"/>
  <c r="R356" i="41" s="1"/>
  <c r="R488" i="41"/>
  <c r="U488" i="41" s="1"/>
  <c r="AK504" i="41"/>
  <c r="R504" i="41" s="1"/>
  <c r="U504" i="41" s="1"/>
  <c r="AK308" i="41"/>
  <c r="R308" i="41" s="1"/>
  <c r="AK122" i="41"/>
  <c r="R122" i="41" s="1"/>
  <c r="AK415" i="41"/>
  <c r="R415" i="41" s="1"/>
  <c r="U415" i="41" s="1"/>
  <c r="AK71" i="41"/>
  <c r="R71" i="41" s="1"/>
  <c r="U71" i="41" s="1"/>
  <c r="AK388" i="41"/>
  <c r="R388" i="41" s="1"/>
  <c r="AK121" i="41"/>
  <c r="R121" i="41" s="1"/>
  <c r="AK331" i="41"/>
  <c r="R331" i="41" s="1"/>
  <c r="U331" i="41" s="1"/>
  <c r="AK139" i="41"/>
  <c r="R139" i="41" s="1"/>
  <c r="R494" i="41"/>
  <c r="U494" i="41" s="1"/>
  <c r="AK503" i="41"/>
  <c r="R503" i="41" s="1"/>
  <c r="AK320" i="41"/>
  <c r="R320" i="41" s="1"/>
  <c r="U320" i="41" s="1"/>
  <c r="V320" i="41" s="1"/>
  <c r="AK448" i="41"/>
  <c r="R448" i="41" s="1"/>
  <c r="U448" i="41" s="1"/>
  <c r="AK156" i="41"/>
  <c r="R156" i="41" s="1"/>
  <c r="AK273" i="41"/>
  <c r="R273" i="41" s="1"/>
  <c r="U273" i="41" s="1"/>
  <c r="AK211" i="41"/>
  <c r="R211" i="41" s="1"/>
  <c r="R469" i="41"/>
  <c r="U469" i="41" s="1"/>
  <c r="AK73" i="41"/>
  <c r="R73" i="41" s="1"/>
  <c r="AK363" i="41"/>
  <c r="R363" i="41" s="1"/>
  <c r="U363" i="41" s="1"/>
  <c r="AK408" i="41"/>
  <c r="R408" i="41" s="1"/>
  <c r="U408" i="41" s="1"/>
  <c r="AK315" i="41"/>
  <c r="R315" i="41" s="1"/>
  <c r="AK182" i="41"/>
  <c r="R182" i="41" s="1"/>
  <c r="AK284" i="41"/>
  <c r="R284" i="41" s="1"/>
  <c r="U284" i="41" s="1"/>
  <c r="AK90" i="41"/>
  <c r="R90" i="41" s="1"/>
  <c r="AK376" i="41"/>
  <c r="R376" i="41" s="1"/>
  <c r="U376" i="41" s="1"/>
  <c r="AK430" i="41"/>
  <c r="R430" i="41" s="1"/>
  <c r="AK290" i="41"/>
  <c r="R290" i="41" s="1"/>
  <c r="AK202" i="41"/>
  <c r="R202" i="41" s="1"/>
  <c r="AK325" i="41"/>
  <c r="R325" i="41" s="1"/>
  <c r="U325" i="41" s="1"/>
  <c r="AK57" i="41"/>
  <c r="R57" i="41" s="1"/>
  <c r="AK68" i="41"/>
  <c r="R68" i="41" s="1"/>
  <c r="U68" i="41" s="1"/>
  <c r="V68" i="41" s="1"/>
  <c r="AK312" i="41"/>
  <c r="R312" i="41" s="1"/>
  <c r="AK81" i="41"/>
  <c r="R81" i="41" s="1"/>
  <c r="R404" i="41"/>
  <c r="U404" i="41" s="1"/>
  <c r="R310" i="41"/>
  <c r="AK289" i="41"/>
  <c r="R289" i="41" s="1"/>
  <c r="U289" i="41" s="1"/>
  <c r="R234" i="41"/>
  <c r="U234" i="41" s="1"/>
  <c r="V234" i="41" s="1"/>
  <c r="R449" i="41"/>
  <c r="U449" i="41" s="1"/>
  <c r="AK111" i="41"/>
  <c r="R111" i="41" s="1"/>
  <c r="U111" i="41" s="1"/>
  <c r="R191" i="41"/>
  <c r="U191" i="41" s="1"/>
  <c r="R395" i="41"/>
  <c r="U395" i="41" s="1"/>
  <c r="R195" i="41"/>
  <c r="R123" i="41"/>
  <c r="R213" i="41"/>
  <c r="U213" i="41" s="1"/>
  <c r="V213" i="41" s="1"/>
  <c r="R140" i="41"/>
  <c r="U140" i="41" s="1"/>
  <c r="V140" i="41" s="1"/>
  <c r="R296" i="41"/>
  <c r="AK446" i="41"/>
  <c r="R446" i="41" s="1"/>
  <c r="U446" i="41" s="1"/>
  <c r="V446" i="41" s="1"/>
  <c r="AK438" i="41"/>
  <c r="R438" i="41" s="1"/>
  <c r="U438" i="41" s="1"/>
  <c r="AK184" i="41"/>
  <c r="R184" i="41" s="1"/>
  <c r="U184" i="41" s="1"/>
  <c r="AK377" i="41"/>
  <c r="R377" i="41" s="1"/>
  <c r="U377" i="41" s="1"/>
  <c r="AK316" i="41"/>
  <c r="R316" i="41" s="1"/>
  <c r="AK277" i="41"/>
  <c r="R277" i="41" s="1"/>
  <c r="AK240" i="41"/>
  <c r="R240" i="41" s="1"/>
  <c r="U240" i="41" s="1"/>
  <c r="V240" i="41" s="1"/>
  <c r="AK281" i="41"/>
  <c r="R281" i="41" s="1"/>
  <c r="AK194" i="41"/>
  <c r="R194" i="41" s="1"/>
  <c r="AK154" i="41"/>
  <c r="R154" i="41" s="1"/>
  <c r="U154" i="41" s="1"/>
  <c r="AK109" i="41"/>
  <c r="R109" i="41" s="1"/>
  <c r="AK276" i="41"/>
  <c r="R276" i="41" s="1"/>
  <c r="U276" i="41" s="1"/>
  <c r="AK102" i="41"/>
  <c r="R102" i="41" s="1"/>
  <c r="AK56" i="41"/>
  <c r="R56" i="41" s="1"/>
  <c r="AK390" i="41"/>
  <c r="R390" i="41" s="1"/>
  <c r="U390" i="41" s="1"/>
  <c r="AK206" i="41"/>
  <c r="R206" i="41" s="1"/>
  <c r="AK306" i="41"/>
  <c r="R306" i="41" s="1"/>
  <c r="AK361" i="41"/>
  <c r="R361" i="41" s="1"/>
  <c r="AK173" i="41"/>
  <c r="R173" i="41" s="1"/>
  <c r="AK157" i="41"/>
  <c r="R157" i="41" s="1"/>
  <c r="U157" i="41" s="1"/>
  <c r="AK74" i="41"/>
  <c r="R74" i="41" s="1"/>
  <c r="U74" i="41" s="1"/>
  <c r="AK112" i="41"/>
  <c r="R112" i="41" s="1"/>
  <c r="U112" i="41" s="1"/>
  <c r="AK126" i="41"/>
  <c r="R126" i="41" s="1"/>
  <c r="AK249" i="41"/>
  <c r="R249" i="41" s="1"/>
  <c r="U249" i="41" s="1"/>
  <c r="AK410" i="41"/>
  <c r="R410" i="41" s="1"/>
  <c r="U410" i="41" s="1"/>
  <c r="R476" i="41"/>
  <c r="U476" i="41" s="1"/>
  <c r="AK337" i="41"/>
  <c r="R337" i="41" s="1"/>
  <c r="U337" i="41" s="1"/>
  <c r="AK197" i="41"/>
  <c r="R197" i="41" s="1"/>
  <c r="AK302" i="41"/>
  <c r="R302" i="41" s="1"/>
  <c r="AK428" i="41"/>
  <c r="R428" i="41" s="1"/>
  <c r="AK133" i="41"/>
  <c r="R133" i="41" s="1"/>
  <c r="AK258" i="41"/>
  <c r="R258" i="41" s="1"/>
  <c r="R254" i="41"/>
  <c r="U254" i="41" s="1"/>
  <c r="AK103" i="41"/>
  <c r="R103" i="41" s="1"/>
  <c r="R91" i="41"/>
  <c r="R270" i="41"/>
  <c r="U270" i="41" s="1"/>
  <c r="V270" i="41" s="1"/>
  <c r="R382" i="41"/>
  <c r="U382" i="41" s="1"/>
  <c r="AK192" i="41"/>
  <c r="R192" i="41" s="1"/>
  <c r="U192" i="41" s="1"/>
  <c r="AK69" i="41"/>
  <c r="R69" i="41" s="1"/>
  <c r="U69" i="41" s="1"/>
  <c r="AK328" i="41"/>
  <c r="R328" i="41" s="1"/>
  <c r="AK392" i="41"/>
  <c r="R392" i="41" s="1"/>
  <c r="U392" i="41" s="1"/>
  <c r="AK367" i="41"/>
  <c r="R367" i="41" s="1"/>
  <c r="AK299" i="41"/>
  <c r="R299" i="41" s="1"/>
  <c r="U299" i="41" s="1"/>
  <c r="AK135" i="41"/>
  <c r="R135" i="41" s="1"/>
  <c r="R128" i="41"/>
  <c r="R263" i="41"/>
  <c r="U263" i="41" s="1"/>
  <c r="AK265" i="41"/>
  <c r="R265" i="41" s="1"/>
  <c r="R283" i="41"/>
  <c r="U283" i="41" s="1"/>
  <c r="R248" i="41"/>
  <c r="R364" i="41"/>
  <c r="R169" i="41"/>
  <c r="AK65" i="41"/>
  <c r="R65" i="41" s="1"/>
  <c r="R175" i="41"/>
  <c r="R381" i="41"/>
  <c r="U381" i="41" s="1"/>
  <c r="R489" i="41"/>
  <c r="U489" i="41" s="1"/>
  <c r="R117" i="41"/>
  <c r="U117" i="41" s="1"/>
  <c r="R174" i="41"/>
  <c r="R134" i="41"/>
  <c r="R129" i="41"/>
  <c r="R99" i="41"/>
  <c r="R253" i="41"/>
  <c r="U253" i="41" s="1"/>
  <c r="R371" i="41"/>
  <c r="AK165" i="41"/>
  <c r="R165" i="41" s="1"/>
  <c r="R338" i="41"/>
  <c r="R158" i="41"/>
  <c r="U158" i="41" s="1"/>
  <c r="R282" i="41"/>
  <c r="R60" i="41"/>
  <c r="R350" i="41"/>
  <c r="U350" i="41" s="1"/>
  <c r="R209" i="41"/>
  <c r="R426" i="41"/>
  <c r="U426" i="41" s="1"/>
  <c r="R450" i="41"/>
  <c r="U450" i="41" s="1"/>
  <c r="AK66" i="41"/>
  <c r="R66" i="41" s="1"/>
  <c r="U66" i="41" s="1"/>
  <c r="R86" i="41"/>
  <c r="R210" i="41"/>
  <c r="AK294" i="41"/>
  <c r="R294" i="41" s="1"/>
  <c r="U294" i="41" s="1"/>
  <c r="AK233" i="41"/>
  <c r="R233" i="41" s="1"/>
  <c r="U233" i="41" s="1"/>
  <c r="V233" i="41" s="1"/>
  <c r="AK313" i="41"/>
  <c r="R313" i="41" s="1"/>
  <c r="AK85" i="41"/>
  <c r="R85" i="41" s="1"/>
  <c r="U85" i="41" s="1"/>
  <c r="AK417" i="41"/>
  <c r="R417" i="41" s="1"/>
  <c r="U417" i="41" s="1"/>
  <c r="AK332" i="41"/>
  <c r="R332" i="41" s="1"/>
  <c r="U332" i="41" s="1"/>
  <c r="AK293" i="41"/>
  <c r="R293" i="41" s="1"/>
  <c r="U293" i="41" s="1"/>
  <c r="AK130" i="41"/>
  <c r="R130" i="41" s="1"/>
  <c r="AK101" i="41"/>
  <c r="R101" i="41" s="1"/>
  <c r="R485" i="41"/>
  <c r="U485" i="41" s="1"/>
  <c r="R490" i="41"/>
  <c r="U490" i="41" s="1"/>
  <c r="V490" i="41" s="1"/>
  <c r="AK400" i="41"/>
  <c r="R400" i="41" s="1"/>
  <c r="U400" i="41" s="1"/>
  <c r="R486" i="41"/>
  <c r="U486" i="41" s="1"/>
  <c r="AK272" i="41"/>
  <c r="R272" i="41" s="1"/>
  <c r="R487" i="41"/>
  <c r="U487" i="41" s="1"/>
  <c r="AK319" i="41"/>
  <c r="R319" i="41" s="1"/>
  <c r="U319" i="41" s="1"/>
  <c r="V319" i="41" s="1"/>
  <c r="AK225" i="41"/>
  <c r="R225" i="41" s="1"/>
  <c r="U225" i="41" s="1"/>
  <c r="V225" i="41" s="1"/>
  <c r="AK170" i="41"/>
  <c r="R170" i="41" s="1"/>
  <c r="AK131" i="41"/>
  <c r="R131" i="41" s="1"/>
  <c r="AK95" i="41"/>
  <c r="R95" i="41" s="1"/>
  <c r="U95" i="41" s="1"/>
  <c r="AK196" i="41"/>
  <c r="R196" i="41" s="1"/>
  <c r="AK366" i="41"/>
  <c r="R366" i="41" s="1"/>
  <c r="AK132" i="41"/>
  <c r="R132" i="41" s="1"/>
  <c r="AK241" i="41"/>
  <c r="R241" i="41" s="1"/>
  <c r="U241" i="41" s="1"/>
  <c r="V241" i="41" s="1"/>
  <c r="AK414" i="41"/>
  <c r="R414" i="41" s="1"/>
  <c r="U414" i="41" s="1"/>
  <c r="AK251" i="41"/>
  <c r="R251" i="41" s="1"/>
  <c r="U251" i="41" s="1"/>
  <c r="AK172" i="41"/>
  <c r="R172" i="41" s="1"/>
  <c r="AK274" i="41"/>
  <c r="R274" i="41" s="1"/>
  <c r="AK176" i="41"/>
  <c r="R176" i="41" s="1"/>
  <c r="AK142" i="41"/>
  <c r="R142" i="41" s="1"/>
  <c r="U142" i="41" s="1"/>
  <c r="V142" i="41" s="1"/>
  <c r="AK317" i="41"/>
  <c r="R317" i="41" s="1"/>
  <c r="AK385" i="41"/>
  <c r="R385" i="41" s="1"/>
  <c r="U385" i="41" s="1"/>
  <c r="V385" i="41" s="1"/>
  <c r="AK307" i="41"/>
  <c r="R307" i="41" s="1"/>
  <c r="AK76" i="41"/>
  <c r="R76" i="41" s="1"/>
  <c r="U76" i="41" s="1"/>
  <c r="AK409" i="41"/>
  <c r="R409" i="41" s="1"/>
  <c r="U409" i="41" s="1"/>
  <c r="AK189" i="41"/>
  <c r="R189" i="41" s="1"/>
  <c r="U189" i="41" s="1"/>
  <c r="AK181" i="41"/>
  <c r="R181" i="41" s="1"/>
  <c r="U181" i="41" s="1"/>
  <c r="V181" i="41" s="1"/>
  <c r="AK252" i="41"/>
  <c r="R252" i="41" s="1"/>
  <c r="U252" i="41" s="1"/>
  <c r="AK120" i="41"/>
  <c r="R120" i="41" s="1"/>
  <c r="U120" i="41" s="1"/>
  <c r="AK148" i="41"/>
  <c r="R148" i="41" s="1"/>
  <c r="AK212" i="41"/>
  <c r="R212" i="41" s="1"/>
  <c r="U212" i="41" s="1"/>
  <c r="V212" i="41" s="1"/>
  <c r="AK198" i="41"/>
  <c r="R198" i="41" s="1"/>
  <c r="AK264" i="41"/>
  <c r="R264" i="41" s="1"/>
  <c r="U264" i="41" s="1"/>
  <c r="R500" i="41"/>
  <c r="U500" i="41" s="1"/>
  <c r="AK416" i="41"/>
  <c r="R416" i="41" s="1"/>
  <c r="AK384" i="41"/>
  <c r="R384" i="41" s="1"/>
  <c r="U384" i="41" s="1"/>
  <c r="AK351" i="41"/>
  <c r="R351" i="41" s="1"/>
  <c r="U351" i="41" s="1"/>
  <c r="R208" i="41"/>
  <c r="U208" i="41" s="1"/>
  <c r="R179" i="41"/>
  <c r="R242" i="41"/>
  <c r="R203" i="41"/>
  <c r="R106" i="41"/>
  <c r="R229" i="41"/>
  <c r="U229" i="41" s="1"/>
  <c r="V229" i="41" s="1"/>
  <c r="R330" i="41"/>
  <c r="R292" i="41"/>
  <c r="R94" i="41"/>
  <c r="R323" i="41"/>
  <c r="R311" i="41"/>
  <c r="R460" i="41"/>
  <c r="U460" i="41" s="1"/>
  <c r="R300" i="41"/>
  <c r="R349" i="41"/>
  <c r="U349" i="41" s="1"/>
  <c r="R92" i="41"/>
  <c r="AK324" i="41"/>
  <c r="R324" i="41" s="1"/>
  <c r="R462" i="41"/>
  <c r="U462" i="41" s="1"/>
  <c r="AK162" i="41"/>
  <c r="R162" i="41" s="1"/>
  <c r="U162" i="41" s="1"/>
  <c r="AK80" i="41"/>
  <c r="R80" i="41" s="1"/>
  <c r="AK259" i="41"/>
  <c r="R259" i="41" s="1"/>
  <c r="AK100" i="41"/>
  <c r="R100" i="41" s="1"/>
  <c r="AK149" i="41"/>
  <c r="R149" i="41" s="1"/>
  <c r="U149" i="41" s="1"/>
  <c r="R127" i="41"/>
  <c r="R159" i="41"/>
  <c r="U159" i="41" s="1"/>
  <c r="R285" i="41"/>
  <c r="R459" i="41"/>
  <c r="U459" i="41" s="1"/>
  <c r="R495" i="41"/>
  <c r="U495" i="41" s="1"/>
  <c r="R200" i="41"/>
  <c r="R358" i="41"/>
  <c r="R303" i="41"/>
  <c r="R255" i="41"/>
  <c r="U255" i="41" s="1"/>
  <c r="R226" i="41"/>
  <c r="R87" i="41"/>
  <c r="U87" i="41" s="1"/>
  <c r="R105" i="41"/>
  <c r="R378" i="41"/>
  <c r="AK360" i="41"/>
  <c r="R360" i="41" s="1"/>
  <c r="R271" i="41"/>
  <c r="U271" i="41" s="1"/>
  <c r="V271" i="41" s="1"/>
  <c r="AK439" i="41"/>
  <c r="R439" i="41" s="1"/>
  <c r="U439" i="41" s="1"/>
  <c r="V439" i="41" s="1"/>
  <c r="R199" i="41"/>
  <c r="R219" i="41"/>
  <c r="U219" i="41" s="1"/>
  <c r="V219" i="41" s="1"/>
  <c r="R354" i="41"/>
  <c r="U354" i="41" s="1"/>
  <c r="R380" i="41"/>
  <c r="R398" i="41"/>
  <c r="U398" i="41" s="1"/>
  <c r="R326" i="41"/>
  <c r="U326" i="41" s="1"/>
  <c r="R118" i="41"/>
  <c r="U118" i="41" s="1"/>
  <c r="R359" i="41"/>
  <c r="R370" i="41"/>
  <c r="R267" i="41"/>
  <c r="R178" i="41"/>
  <c r="U178" i="41" s="1"/>
  <c r="R136" i="41"/>
  <c r="R327" i="41"/>
  <c r="U327" i="41" s="1"/>
  <c r="R217" i="41"/>
  <c r="U217" i="41" s="1"/>
  <c r="V217" i="41" s="1"/>
  <c r="R506" i="41"/>
  <c r="U506" i="41" s="1"/>
  <c r="V506" i="41" s="1"/>
  <c r="R339" i="41"/>
  <c r="U339" i="41" s="1"/>
  <c r="R190" i="41"/>
  <c r="U190" i="41" s="1"/>
  <c r="R88" i="41"/>
  <c r="R280" i="41"/>
  <c r="R444" i="41"/>
  <c r="U444" i="41" s="1"/>
  <c r="V444" i="41" s="1"/>
  <c r="R345" i="41"/>
  <c r="R216" i="41"/>
  <c r="U216" i="41" s="1"/>
  <c r="V216" i="41" s="1"/>
  <c r="R373" i="41"/>
  <c r="R116" i="41"/>
  <c r="U116" i="41" s="1"/>
  <c r="R227" i="41"/>
  <c r="U227" i="41" s="1"/>
  <c r="V227" i="41" s="1"/>
  <c r="R239" i="41"/>
  <c r="U239" i="41" s="1"/>
  <c r="V239" i="41" s="1"/>
  <c r="R440" i="41"/>
  <c r="U440" i="41" s="1"/>
  <c r="V440" i="41" s="1"/>
  <c r="R152" i="41"/>
  <c r="U152" i="41" s="1"/>
  <c r="AK420" i="41"/>
  <c r="R420" i="41" s="1"/>
  <c r="U420" i="41" s="1"/>
  <c r="AK321" i="41"/>
  <c r="R321" i="41" s="1"/>
  <c r="U321" i="41" s="1"/>
  <c r="V321" i="41" s="1"/>
  <c r="AK245" i="41"/>
  <c r="R245" i="41" s="1"/>
  <c r="U245" i="41" s="1"/>
  <c r="R497" i="41"/>
  <c r="U497" i="41" s="1"/>
  <c r="AK341" i="41"/>
  <c r="R341" i="41" s="1"/>
  <c r="U341" i="41" s="1"/>
  <c r="AK223" i="41"/>
  <c r="R223" i="41" s="1"/>
  <c r="U223" i="41" s="1"/>
  <c r="V223" i="41" s="1"/>
  <c r="AK168" i="41"/>
  <c r="R168" i="41" s="1"/>
  <c r="AK93" i="41"/>
  <c r="R93" i="41" s="1"/>
  <c r="AK357" i="41"/>
  <c r="R357" i="41" s="1"/>
  <c r="AK266" i="41"/>
  <c r="R266" i="41" s="1"/>
  <c r="AK431" i="41"/>
  <c r="R431" i="41" s="1"/>
  <c r="U431" i="41" s="1"/>
  <c r="AK348" i="41"/>
  <c r="R348" i="41" s="1"/>
  <c r="AK301" i="41"/>
  <c r="R301" i="41" s="1"/>
  <c r="AK269" i="41"/>
  <c r="R269" i="41" s="1"/>
  <c r="AK224" i="41"/>
  <c r="R224" i="41" s="1"/>
  <c r="U224" i="41" s="1"/>
  <c r="V224" i="41" s="1"/>
  <c r="AK153" i="41"/>
  <c r="R153" i="41" s="1"/>
  <c r="AK108" i="41"/>
  <c r="R108" i="41" s="1"/>
  <c r="AK70" i="41"/>
  <c r="R70" i="41" s="1"/>
  <c r="U70" i="41" s="1"/>
  <c r="AK220" i="41"/>
  <c r="R220" i="41" s="1"/>
  <c r="U220" i="41" s="1"/>
  <c r="V220" i="41" s="1"/>
  <c r="AK386" i="41"/>
  <c r="R386" i="41" s="1"/>
  <c r="U386" i="41" s="1"/>
  <c r="AK402" i="41"/>
  <c r="R402" i="41" s="1"/>
  <c r="U402" i="41" s="1"/>
  <c r="AK304" i="41"/>
  <c r="R304" i="41" s="1"/>
  <c r="U304" i="41" s="1"/>
  <c r="AK188" i="41"/>
  <c r="R188" i="41" s="1"/>
  <c r="U188" i="41" s="1"/>
  <c r="AK347" i="41"/>
  <c r="R347" i="41" s="1"/>
  <c r="U347" i="41" s="1"/>
  <c r="AK262" i="41"/>
  <c r="R262" i="41" s="1"/>
  <c r="AK180" i="41"/>
  <c r="R180" i="41" s="1"/>
  <c r="U180" i="41" s="1"/>
  <c r="V180" i="41" s="1"/>
  <c r="AK138" i="41"/>
  <c r="R138" i="41" s="1"/>
  <c r="AK235" i="41"/>
  <c r="R235" i="41" s="1"/>
  <c r="U235" i="41" s="1"/>
  <c r="V235" i="41" s="1"/>
  <c r="AK374" i="41"/>
  <c r="R374" i="41" s="1"/>
  <c r="AK334" i="41"/>
  <c r="R334" i="41" s="1"/>
  <c r="U334" i="41" s="1"/>
  <c r="AK295" i="41"/>
  <c r="R295" i="41" s="1"/>
  <c r="U295" i="41" s="1"/>
  <c r="AK250" i="41"/>
  <c r="R250" i="41" s="1"/>
  <c r="AK171" i="41"/>
  <c r="R171" i="41" s="1"/>
  <c r="U171" i="41" s="1"/>
  <c r="V171" i="41" s="1"/>
  <c r="AK96" i="41"/>
  <c r="R96" i="41" s="1"/>
  <c r="U96" i="41" s="1"/>
  <c r="V96" i="41" s="1"/>
  <c r="AK164" i="41"/>
  <c r="R164" i="41" s="1"/>
  <c r="U164" i="41" s="1"/>
  <c r="AK394" i="41"/>
  <c r="R394" i="41" s="1"/>
  <c r="U394" i="41" s="1"/>
  <c r="AK434" i="41"/>
  <c r="R434" i="41" s="1"/>
  <c r="U434" i="41" s="1"/>
  <c r="AK268" i="41"/>
  <c r="R268" i="41" s="1"/>
  <c r="AK204" i="41"/>
  <c r="R204" i="41" s="1"/>
  <c r="U204" i="41" s="1"/>
  <c r="AK286" i="41"/>
  <c r="R286" i="41" s="1"/>
  <c r="AK186" i="41"/>
  <c r="R186" i="41" s="1"/>
  <c r="U186" i="41" s="1"/>
  <c r="AK150" i="41"/>
  <c r="R150" i="41" s="1"/>
  <c r="R113" i="41"/>
  <c r="U113" i="41" s="1"/>
  <c r="AK67" i="41"/>
  <c r="R67" i="41" s="1"/>
  <c r="U67" i="41" s="1"/>
  <c r="AK333" i="41"/>
  <c r="R333" i="41" s="1"/>
  <c r="U333" i="41" s="1"/>
  <c r="AK427" i="41"/>
  <c r="R427" i="41" s="1"/>
  <c r="U427" i="41" s="1"/>
  <c r="AK362" i="41"/>
  <c r="R362" i="41" s="1"/>
  <c r="AK314" i="41"/>
  <c r="R314" i="41" s="1"/>
  <c r="AK275" i="41"/>
  <c r="R275" i="41" s="1"/>
  <c r="U275" i="41" s="1"/>
  <c r="AK214" i="41"/>
  <c r="R214" i="41" s="1"/>
  <c r="U214" i="41" s="1"/>
  <c r="V214" i="41" s="1"/>
  <c r="AK167" i="41"/>
  <c r="R167" i="41" s="1"/>
  <c r="U167" i="41" s="1"/>
  <c r="AK114" i="41"/>
  <c r="R114" i="41" s="1"/>
  <c r="U114" i="41" s="1"/>
  <c r="AK84" i="41"/>
  <c r="R84" i="41" s="1"/>
  <c r="AK278" i="41"/>
  <c r="R278" i="41" s="1"/>
  <c r="U278" i="41" s="1"/>
  <c r="AK344" i="41"/>
  <c r="R344" i="41" s="1"/>
  <c r="U18" i="46" l="1"/>
  <c r="V18" i="46"/>
  <c r="V12" i="46"/>
  <c r="U12" i="46"/>
  <c r="T12" i="46" s="1"/>
  <c r="U72" i="41"/>
  <c r="V72" i="41" s="1"/>
  <c r="U269" i="41"/>
  <c r="V269" i="41" s="1"/>
  <c r="U345" i="41"/>
  <c r="V345" i="41" s="1"/>
  <c r="U106" i="41"/>
  <c r="V106" i="41" s="1"/>
  <c r="U132" i="41"/>
  <c r="V132" i="41" s="1"/>
  <c r="U101" i="41"/>
  <c r="V101" i="41" s="1"/>
  <c r="U134" i="41"/>
  <c r="V134" i="41" s="1"/>
  <c r="U306" i="41"/>
  <c r="V306" i="41" s="1"/>
  <c r="U211" i="41"/>
  <c r="V211" i="41" s="1"/>
  <c r="U387" i="41"/>
  <c r="V387" i="41" s="1"/>
  <c r="U82" i="41"/>
  <c r="V82" i="41" s="1"/>
  <c r="U148" i="41"/>
  <c r="V148" i="41" s="1"/>
  <c r="U86" i="41"/>
  <c r="V86" i="41" s="1"/>
  <c r="U147" i="41"/>
  <c r="V147" i="41" s="1"/>
  <c r="U369" i="41"/>
  <c r="V369" i="41" s="1"/>
  <c r="U287" i="41"/>
  <c r="V287" i="41" s="1"/>
  <c r="U84" i="41"/>
  <c r="V84" i="41" s="1"/>
  <c r="U150" i="41"/>
  <c r="V150" i="41" s="1"/>
  <c r="U262" i="41"/>
  <c r="V262" i="41" s="1"/>
  <c r="U153" i="41"/>
  <c r="V153" i="41" s="1"/>
  <c r="U280" i="41"/>
  <c r="V280" i="41" s="1"/>
  <c r="U359" i="41"/>
  <c r="V359" i="41" s="1"/>
  <c r="U378" i="41"/>
  <c r="V378" i="41" s="1"/>
  <c r="U210" i="41"/>
  <c r="V210" i="41" s="1"/>
  <c r="U209" i="41"/>
  <c r="V209" i="41" s="1"/>
  <c r="U129" i="41"/>
  <c r="V129" i="41" s="1"/>
  <c r="U73" i="41"/>
  <c r="V73" i="41" s="1"/>
  <c r="U143" i="41"/>
  <c r="V143" i="41" s="1"/>
  <c r="U279" i="41"/>
  <c r="V279" i="41" s="1"/>
  <c r="U362" i="41"/>
  <c r="V362" i="41" s="1"/>
  <c r="U380" i="41"/>
  <c r="V380" i="41" s="1"/>
  <c r="U358" i="41"/>
  <c r="V358" i="41" s="1"/>
  <c r="U131" i="41"/>
  <c r="V131" i="41" s="1"/>
  <c r="U388" i="41"/>
  <c r="V388" i="41" s="1"/>
  <c r="U89" i="41"/>
  <c r="V89" i="41" s="1"/>
  <c r="U98" i="41"/>
  <c r="V98" i="41" s="1"/>
  <c r="U88" i="41"/>
  <c r="V88" i="41" s="1"/>
  <c r="U105" i="41"/>
  <c r="V105" i="41" s="1"/>
  <c r="U282" i="41"/>
  <c r="V282" i="41" s="1"/>
  <c r="U296" i="41"/>
  <c r="V296" i="41" s="1"/>
  <c r="U379" i="41"/>
  <c r="V379" i="41" s="1"/>
  <c r="U250" i="41"/>
  <c r="V250" i="41" s="1"/>
  <c r="U108" i="41"/>
  <c r="V108" i="41" s="1"/>
  <c r="U370" i="41"/>
  <c r="V370" i="41" s="1"/>
  <c r="U360" i="41"/>
  <c r="V360" i="41" s="1"/>
  <c r="U366" i="41"/>
  <c r="V366" i="41" s="1"/>
  <c r="U272" i="41"/>
  <c r="V272" i="41" s="1"/>
  <c r="U56" i="41"/>
  <c r="V56" i="41" s="1"/>
  <c r="U281" i="41"/>
  <c r="V281" i="41" s="1"/>
  <c r="U144" i="41"/>
  <c r="V144" i="41" s="1"/>
  <c r="U97" i="41"/>
  <c r="V97" i="41" s="1"/>
  <c r="U145" i="41"/>
  <c r="V145" i="41" s="1"/>
  <c r="U433" i="41"/>
  <c r="V433" i="41" s="1"/>
  <c r="U416" i="41"/>
  <c r="V416" i="41" s="1"/>
  <c r="U503" i="41"/>
  <c r="V503" i="41" s="1"/>
  <c r="U437" i="41"/>
  <c r="V437" i="41" s="1"/>
  <c r="U432" i="41"/>
  <c r="V432" i="41" s="1"/>
  <c r="U146" i="41"/>
  <c r="V146" i="41" s="1"/>
  <c r="U430" i="41"/>
  <c r="V430" i="41" s="1"/>
  <c r="U110" i="41"/>
  <c r="V110" i="41" s="1"/>
  <c r="U311" i="41"/>
  <c r="V311" i="41" s="1"/>
  <c r="U124" i="41"/>
  <c r="V124" i="41" s="1"/>
  <c r="U61" i="41"/>
  <c r="V61" i="41" s="1"/>
  <c r="U125" i="41"/>
  <c r="V125" i="41" s="1"/>
  <c r="U93" i="41"/>
  <c r="V93" i="41" s="1"/>
  <c r="U136" i="41"/>
  <c r="V136" i="41" s="1"/>
  <c r="U80" i="41"/>
  <c r="V80" i="41" s="1"/>
  <c r="U92" i="41"/>
  <c r="V92" i="41" s="1"/>
  <c r="U60" i="41"/>
  <c r="V60" i="41" s="1"/>
  <c r="U165" i="41"/>
  <c r="V165" i="41" s="1"/>
  <c r="U312" i="41"/>
  <c r="V312" i="41" s="1"/>
  <c r="U59" i="41"/>
  <c r="V59" i="41" s="1"/>
  <c r="U99" i="41"/>
  <c r="V99" i="41" s="1"/>
  <c r="U135" i="41"/>
  <c r="V135" i="41" s="1"/>
  <c r="U138" i="41"/>
  <c r="V138" i="41" s="1"/>
  <c r="U127" i="41"/>
  <c r="V127" i="41" s="1"/>
  <c r="U65" i="41"/>
  <c r="V65" i="41" s="1"/>
  <c r="U133" i="41"/>
  <c r="V133" i="41" s="1"/>
  <c r="U57" i="41"/>
  <c r="V57" i="41" s="1"/>
  <c r="U90" i="41"/>
  <c r="V90" i="41" s="1"/>
  <c r="U139" i="41"/>
  <c r="V139" i="41" s="1"/>
  <c r="U77" i="41"/>
  <c r="V77" i="41" s="1"/>
  <c r="U63" i="41"/>
  <c r="V63" i="41" s="1"/>
  <c r="U151" i="41"/>
  <c r="V151" i="41" s="1"/>
  <c r="U305" i="41"/>
  <c r="V305" i="41" s="1"/>
  <c r="U374" i="41"/>
  <c r="V374" i="41" s="1"/>
  <c r="U266" i="41"/>
  <c r="V266" i="41" s="1"/>
  <c r="U285" i="41"/>
  <c r="V285" i="41" s="1"/>
  <c r="U323" i="41"/>
  <c r="V323" i="41" s="1"/>
  <c r="U176" i="41"/>
  <c r="V176" i="41" s="1"/>
  <c r="U353" i="41"/>
  <c r="V353" i="41" s="1"/>
  <c r="U248" i="41"/>
  <c r="V248" i="41" s="1"/>
  <c r="U128" i="41"/>
  <c r="V128" i="41" s="1"/>
  <c r="U91" i="41"/>
  <c r="V91" i="41" s="1"/>
  <c r="U109" i="41"/>
  <c r="V109" i="41" s="1"/>
  <c r="U316" i="41"/>
  <c r="V316" i="41" s="1"/>
  <c r="U123" i="41"/>
  <c r="V123" i="41" s="1"/>
  <c r="U81" i="41"/>
  <c r="V81" i="41" s="1"/>
  <c r="U290" i="41"/>
  <c r="V290" i="41" s="1"/>
  <c r="U309" i="41"/>
  <c r="V309" i="41" s="1"/>
  <c r="U291" i="41"/>
  <c r="V291" i="41" s="1"/>
  <c r="U261" i="41"/>
  <c r="V261" i="41" s="1"/>
  <c r="U365" i="41"/>
  <c r="V365" i="41" s="1"/>
  <c r="U201" i="41"/>
  <c r="V201" i="41" s="1"/>
  <c r="U314" i="41"/>
  <c r="V314" i="41" s="1"/>
  <c r="U168" i="41"/>
  <c r="V168" i="41" s="1"/>
  <c r="U303" i="41"/>
  <c r="V303" i="41" s="1"/>
  <c r="U292" i="41"/>
  <c r="V292" i="41" s="1"/>
  <c r="U179" i="41"/>
  <c r="V179" i="41" s="1"/>
  <c r="U367" i="41"/>
  <c r="V367" i="41" s="1"/>
  <c r="U258" i="41"/>
  <c r="V258" i="41" s="1"/>
  <c r="U301" i="41"/>
  <c r="V301" i="41" s="1"/>
  <c r="U357" i="41"/>
  <c r="V357" i="41" s="1"/>
  <c r="U373" i="41"/>
  <c r="V373" i="41" s="1"/>
  <c r="U226" i="41"/>
  <c r="V226" i="41" s="1"/>
  <c r="U200" i="41"/>
  <c r="V200" i="41" s="1"/>
  <c r="U324" i="41"/>
  <c r="V324" i="41" s="1"/>
  <c r="U300" i="41"/>
  <c r="V300" i="41" s="1"/>
  <c r="U330" i="41"/>
  <c r="V330" i="41" s="1"/>
  <c r="U203" i="41"/>
  <c r="V203" i="41" s="1"/>
  <c r="U198" i="41"/>
  <c r="V198" i="41" s="1"/>
  <c r="U274" i="41"/>
  <c r="V274" i="41" s="1"/>
  <c r="U170" i="41"/>
  <c r="V170" i="41" s="1"/>
  <c r="U130" i="41"/>
  <c r="V130" i="41" s="1"/>
  <c r="U375" i="41"/>
  <c r="V375" i="41" s="1"/>
  <c r="U174" i="41"/>
  <c r="V174" i="41" s="1"/>
  <c r="U169" i="41"/>
  <c r="V169" i="41" s="1"/>
  <c r="U103" i="41"/>
  <c r="V103" i="41" s="1"/>
  <c r="U428" i="41"/>
  <c r="V428" i="41" s="1"/>
  <c r="U195" i="41"/>
  <c r="V195" i="41" s="1"/>
  <c r="U310" i="41"/>
  <c r="V310" i="41" s="1"/>
  <c r="U308" i="41"/>
  <c r="V308" i="41" s="1"/>
  <c r="U372" i="41"/>
  <c r="V372" i="41" s="1"/>
  <c r="U286" i="41"/>
  <c r="V286" i="41" s="1"/>
  <c r="U267" i="41"/>
  <c r="V267" i="41" s="1"/>
  <c r="U259" i="41"/>
  <c r="V259" i="41" s="1"/>
  <c r="U307" i="41"/>
  <c r="V307" i="41" s="1"/>
  <c r="U126" i="41"/>
  <c r="V126" i="41" s="1"/>
  <c r="U173" i="41"/>
  <c r="V173" i="41" s="1"/>
  <c r="U122" i="41"/>
  <c r="V122" i="41" s="1"/>
  <c r="U356" i="41"/>
  <c r="V356" i="41" s="1"/>
  <c r="U58" i="41"/>
  <c r="V58" i="41" s="1"/>
  <c r="U344" i="41"/>
  <c r="V344" i="41" s="1"/>
  <c r="U268" i="41"/>
  <c r="V268" i="41" s="1"/>
  <c r="U100" i="41"/>
  <c r="V100" i="41" s="1"/>
  <c r="U172" i="41"/>
  <c r="V172" i="41" s="1"/>
  <c r="U313" i="41"/>
  <c r="V313" i="41" s="1"/>
  <c r="U371" i="41"/>
  <c r="V371" i="41" s="1"/>
  <c r="U197" i="41"/>
  <c r="V197" i="41" s="1"/>
  <c r="U277" i="41"/>
  <c r="V277" i="41" s="1"/>
  <c r="U202" i="41"/>
  <c r="V202" i="41" s="1"/>
  <c r="U315" i="41"/>
  <c r="V315" i="41" s="1"/>
  <c r="U156" i="41"/>
  <c r="V156" i="41" s="1"/>
  <c r="U298" i="41"/>
  <c r="V298" i="41" s="1"/>
  <c r="U368" i="41"/>
  <c r="V368" i="41" s="1"/>
  <c r="U83" i="41"/>
  <c r="V83" i="41" s="1"/>
  <c r="U177" i="41"/>
  <c r="V177" i="41" s="1"/>
  <c r="U247" i="41"/>
  <c r="V247" i="41" s="1"/>
  <c r="U207" i="41"/>
  <c r="V207" i="41" s="1"/>
  <c r="U104" i="41"/>
  <c r="V104" i="41" s="1"/>
  <c r="U348" i="41"/>
  <c r="V348" i="41" s="1"/>
  <c r="U199" i="41"/>
  <c r="V199" i="41" s="1"/>
  <c r="U94" i="41"/>
  <c r="V94" i="41" s="1"/>
  <c r="U242" i="41"/>
  <c r="V242" i="41" s="1"/>
  <c r="U317" i="41"/>
  <c r="V317" i="41" s="1"/>
  <c r="U196" i="41"/>
  <c r="V196" i="41" s="1"/>
  <c r="U175" i="41"/>
  <c r="V175" i="41" s="1"/>
  <c r="U364" i="41"/>
  <c r="V364" i="41" s="1"/>
  <c r="U265" i="41"/>
  <c r="V265" i="41" s="1"/>
  <c r="U328" i="41"/>
  <c r="V328" i="41" s="1"/>
  <c r="U302" i="41"/>
  <c r="V302" i="41" s="1"/>
  <c r="U361" i="41"/>
  <c r="V361" i="41" s="1"/>
  <c r="U206" i="41"/>
  <c r="V206" i="41" s="1"/>
  <c r="U102" i="41"/>
  <c r="V102" i="41" s="1"/>
  <c r="U194" i="41"/>
  <c r="V194" i="41" s="1"/>
  <c r="U182" i="41"/>
  <c r="V182" i="41" s="1"/>
  <c r="U121" i="41"/>
  <c r="V121" i="41" s="1"/>
  <c r="U193" i="41"/>
  <c r="V193" i="41" s="1"/>
  <c r="U322" i="41"/>
  <c r="V322" i="41" s="1"/>
  <c r="U260" i="41"/>
  <c r="V260" i="41" s="1"/>
  <c r="U78" i="41"/>
  <c r="V78" i="41" s="1"/>
  <c r="U288" i="41"/>
  <c r="V288" i="41" s="1"/>
  <c r="U155" i="41"/>
  <c r="V155" i="41" s="1"/>
  <c r="V283" i="41"/>
  <c r="V284" i="41"/>
  <c r="V256" i="41"/>
  <c r="V205" i="41"/>
  <c r="V257" i="41"/>
  <c r="V273" i="41"/>
  <c r="V331" i="41"/>
  <c r="V164" i="41"/>
  <c r="V332" i="41"/>
  <c r="V337" i="41"/>
  <c r="V336" i="41"/>
  <c r="V333" i="41"/>
  <c r="V334" i="41"/>
  <c r="V341" i="41"/>
  <c r="V339" i="41"/>
  <c r="U338" i="41"/>
  <c r="V338" i="41" s="1"/>
  <c r="V363" i="41"/>
  <c r="V340" i="41"/>
  <c r="V342" i="41"/>
  <c r="V335" i="41"/>
  <c r="A29" i="141" l="1"/>
  <c r="O28" i="141"/>
  <c r="A28" i="141"/>
  <c r="P27" i="141"/>
  <c r="O27" i="141"/>
  <c r="M27" i="141"/>
  <c r="A29" i="140"/>
  <c r="O28" i="140"/>
  <c r="A28" i="140"/>
  <c r="P27" i="140"/>
  <c r="O27" i="140"/>
  <c r="M27" i="140"/>
  <c r="A29" i="139"/>
  <c r="O28" i="139"/>
  <c r="A28" i="139"/>
  <c r="P27" i="139"/>
  <c r="O27" i="139"/>
  <c r="M27" i="139"/>
  <c r="A29" i="138"/>
  <c r="O28" i="138"/>
  <c r="A28" i="138"/>
  <c r="T27" i="138"/>
  <c r="T25" i="138"/>
  <c r="S25" i="138"/>
  <c r="Q25" i="138"/>
  <c r="P25" i="138"/>
  <c r="O25" i="138"/>
  <c r="O27" i="138" s="1"/>
  <c r="N25" i="138"/>
  <c r="M25" i="138"/>
  <c r="M27" i="138" s="1"/>
  <c r="L27" i="138" s="1"/>
  <c r="L25" i="138"/>
  <c r="K25" i="138"/>
  <c r="K27" i="138" s="1"/>
  <c r="T24" i="138"/>
  <c r="T23" i="138"/>
  <c r="T22" i="138"/>
  <c r="T21" i="138"/>
  <c r="T20" i="138"/>
  <c r="T19" i="138"/>
  <c r="T18" i="138"/>
  <c r="T17" i="138"/>
  <c r="T16" i="138"/>
  <c r="T15" i="138"/>
  <c r="T14" i="138"/>
  <c r="T13" i="138"/>
  <c r="T12" i="138"/>
  <c r="T11" i="138"/>
  <c r="T10" i="138"/>
  <c r="T9" i="138"/>
  <c r="T8" i="138"/>
  <c r="A29" i="36"/>
  <c r="I28" i="36"/>
  <c r="A28" i="36"/>
  <c r="I26" i="36"/>
  <c r="E80" i="2" s="1"/>
  <c r="J25" i="36"/>
  <c r="J27" i="36" s="1"/>
  <c r="I25" i="36"/>
  <c r="G25" i="36"/>
  <c r="G27" i="36" s="1"/>
  <c r="C9" i="125" s="1"/>
  <c r="C23" i="2" s="1"/>
  <c r="K24" i="36"/>
  <c r="K23" i="36"/>
  <c r="K22" i="36"/>
  <c r="K21" i="36"/>
  <c r="K20" i="36"/>
  <c r="K19" i="36"/>
  <c r="K18" i="36"/>
  <c r="K17" i="36"/>
  <c r="K16" i="36"/>
  <c r="K15" i="36"/>
  <c r="K14" i="36"/>
  <c r="K13" i="36"/>
  <c r="K12" i="36"/>
  <c r="K11" i="36"/>
  <c r="K10" i="36"/>
  <c r="K9" i="36"/>
  <c r="K8" i="36"/>
  <c r="K7" i="36"/>
  <c r="K6" i="36"/>
  <c r="A4" i="36"/>
  <c r="A3" i="36"/>
  <c r="A29" i="127"/>
  <c r="G28" i="127"/>
  <c r="A28" i="127"/>
  <c r="I26" i="127"/>
  <c r="G25" i="127"/>
  <c r="I25" i="127" s="1"/>
  <c r="H24" i="127"/>
  <c r="H27" i="127" s="1"/>
  <c r="E8" i="125" s="1"/>
  <c r="F22" i="2" s="1"/>
  <c r="G24" i="127"/>
  <c r="I24" i="127" s="1"/>
  <c r="E24" i="127"/>
  <c r="E27" i="127" s="1"/>
  <c r="C8" i="125" s="1"/>
  <c r="C22" i="2" s="1"/>
  <c r="I23" i="127"/>
  <c r="I22" i="127"/>
  <c r="I21" i="127"/>
  <c r="I20" i="127"/>
  <c r="I19" i="127"/>
  <c r="I18" i="127"/>
  <c r="I17" i="127"/>
  <c r="I16" i="127"/>
  <c r="I15" i="127"/>
  <c r="I14" i="127"/>
  <c r="I13" i="127"/>
  <c r="I12" i="127"/>
  <c r="I11" i="127"/>
  <c r="I10" i="127"/>
  <c r="I9" i="127"/>
  <c r="I8" i="127"/>
  <c r="I7" i="127"/>
  <c r="I6" i="127"/>
  <c r="A4" i="127"/>
  <c r="A3" i="127"/>
  <c r="A29" i="124"/>
  <c r="J28" i="124"/>
  <c r="A28" i="124"/>
  <c r="K27" i="124"/>
  <c r="J26" i="124"/>
  <c r="L26" i="124" s="1"/>
  <c r="K25" i="124"/>
  <c r="J25" i="124"/>
  <c r="L25" i="124" s="1"/>
  <c r="H25" i="124"/>
  <c r="H27" i="124" s="1"/>
  <c r="C7" i="125" s="1"/>
  <c r="C21" i="2" s="1"/>
  <c r="L24" i="124"/>
  <c r="L23" i="124"/>
  <c r="L22" i="124"/>
  <c r="L21" i="124"/>
  <c r="L20" i="124"/>
  <c r="L19" i="124"/>
  <c r="L18" i="124"/>
  <c r="L17" i="124"/>
  <c r="L16" i="124"/>
  <c r="L15" i="124"/>
  <c r="L14" i="124"/>
  <c r="L13" i="124"/>
  <c r="L12" i="124"/>
  <c r="L11" i="124"/>
  <c r="L10" i="124"/>
  <c r="L9" i="124"/>
  <c r="L8" i="124"/>
  <c r="L7" i="124"/>
  <c r="L6" i="124"/>
  <c r="A4" i="124"/>
  <c r="A3" i="124"/>
  <c r="A29" i="123"/>
  <c r="J28" i="123"/>
  <c r="A28" i="123"/>
  <c r="K27" i="123"/>
  <c r="J27" i="123"/>
  <c r="L27" i="123" s="1"/>
  <c r="H27" i="123"/>
  <c r="C8" i="33" s="1"/>
  <c r="L25" i="123"/>
  <c r="L24" i="123"/>
  <c r="L23" i="123"/>
  <c r="L22" i="123"/>
  <c r="L21" i="123"/>
  <c r="L20" i="123"/>
  <c r="L19" i="123"/>
  <c r="L18" i="123"/>
  <c r="L17" i="123"/>
  <c r="L16" i="123"/>
  <c r="L15" i="123"/>
  <c r="L14" i="123"/>
  <c r="L13" i="123"/>
  <c r="L12" i="123"/>
  <c r="L11" i="123"/>
  <c r="L10" i="123"/>
  <c r="L9" i="123"/>
  <c r="L8" i="123"/>
  <c r="L7" i="123"/>
  <c r="L6" i="123"/>
  <c r="A4" i="123"/>
  <c r="A3" i="123"/>
  <c r="A29" i="35"/>
  <c r="J28" i="35"/>
  <c r="A28" i="35"/>
  <c r="K27" i="35"/>
  <c r="J27" i="35"/>
  <c r="L27" i="35" s="1"/>
  <c r="H27" i="35"/>
  <c r="C7" i="33" s="1"/>
  <c r="L25" i="35"/>
  <c r="L24" i="35"/>
  <c r="L23" i="35"/>
  <c r="L22" i="35"/>
  <c r="L21" i="35"/>
  <c r="L20" i="35"/>
  <c r="L19" i="35"/>
  <c r="L18" i="35"/>
  <c r="L17" i="35"/>
  <c r="L16" i="35"/>
  <c r="L15" i="35"/>
  <c r="L14" i="35"/>
  <c r="L13" i="35"/>
  <c r="L12" i="35"/>
  <c r="L11" i="35"/>
  <c r="L10" i="35"/>
  <c r="L9" i="35"/>
  <c r="L8" i="35"/>
  <c r="L7" i="35"/>
  <c r="L6" i="35"/>
  <c r="A4" i="35"/>
  <c r="A3" i="35"/>
  <c r="A29" i="34"/>
  <c r="K28" i="34"/>
  <c r="A28" i="34"/>
  <c r="L27" i="34"/>
  <c r="K27" i="34"/>
  <c r="M27" i="34" s="1"/>
  <c r="I27" i="34"/>
  <c r="C6" i="33" s="1"/>
  <c r="M25" i="34"/>
  <c r="M24" i="34"/>
  <c r="M23" i="34"/>
  <c r="M22" i="34"/>
  <c r="M21" i="34"/>
  <c r="M20" i="34"/>
  <c r="M19" i="34"/>
  <c r="M18" i="34"/>
  <c r="M17" i="34"/>
  <c r="M16" i="34"/>
  <c r="M15" i="34"/>
  <c r="M14" i="34"/>
  <c r="M13" i="34"/>
  <c r="M12" i="34"/>
  <c r="M11" i="34"/>
  <c r="M10" i="34"/>
  <c r="M9" i="34"/>
  <c r="M8" i="34"/>
  <c r="M7" i="34"/>
  <c r="M6" i="34"/>
  <c r="A4" i="34"/>
  <c r="A3" i="34"/>
  <c r="A29" i="33"/>
  <c r="E28" i="33"/>
  <c r="A28" i="33"/>
  <c r="E26" i="33"/>
  <c r="G26" i="33" s="1"/>
  <c r="F7" i="33"/>
  <c r="A4" i="33"/>
  <c r="A3" i="33"/>
  <c r="A29" i="125"/>
  <c r="E28" i="125"/>
  <c r="A28" i="125"/>
  <c r="E21" i="125"/>
  <c r="D21" i="125"/>
  <c r="E35" i="2" s="1"/>
  <c r="H35" i="2" s="1"/>
  <c r="C21" i="125"/>
  <c r="C35" i="2" s="1"/>
  <c r="E18" i="125"/>
  <c r="D18" i="125"/>
  <c r="C18" i="125" s="1"/>
  <c r="D15" i="125"/>
  <c r="C15" i="125" s="1"/>
  <c r="C14" i="125"/>
  <c r="D13" i="125"/>
  <c r="C13" i="125" s="1"/>
  <c r="A4" i="125"/>
  <c r="A3" i="125"/>
  <c r="A29" i="32"/>
  <c r="G28" i="32"/>
  <c r="A28" i="32"/>
  <c r="H27" i="32"/>
  <c r="G16" i="3" s="1"/>
  <c r="F17" i="2" s="1"/>
  <c r="G27" i="32"/>
  <c r="I27" i="32" s="1"/>
  <c r="E27" i="32"/>
  <c r="I25" i="32"/>
  <c r="I24" i="32"/>
  <c r="I23" i="32"/>
  <c r="I22" i="32"/>
  <c r="I21" i="32"/>
  <c r="I20" i="32"/>
  <c r="I19" i="32"/>
  <c r="I18" i="32"/>
  <c r="I17" i="32"/>
  <c r="I16" i="32"/>
  <c r="I15" i="32"/>
  <c r="I14" i="32"/>
  <c r="I13" i="32"/>
  <c r="I12" i="32"/>
  <c r="I11" i="32"/>
  <c r="I10" i="32"/>
  <c r="I9" i="32"/>
  <c r="I8" i="32"/>
  <c r="I7" i="32"/>
  <c r="I6" i="32"/>
  <c r="A4" i="32"/>
  <c r="A3" i="32"/>
  <c r="A29" i="31"/>
  <c r="G28" i="31"/>
  <c r="A28" i="31"/>
  <c r="H27" i="31"/>
  <c r="G27" i="31"/>
  <c r="I27" i="31" s="1"/>
  <c r="E27" i="31"/>
  <c r="I25" i="31"/>
  <c r="I24" i="31"/>
  <c r="I23" i="31"/>
  <c r="I22" i="31"/>
  <c r="I21" i="31"/>
  <c r="I20" i="31"/>
  <c r="I19" i="31"/>
  <c r="I18" i="31"/>
  <c r="I17" i="31"/>
  <c r="I16" i="31"/>
  <c r="I15" i="31"/>
  <c r="I14" i="31"/>
  <c r="I13" i="31"/>
  <c r="I12" i="31"/>
  <c r="I11" i="31"/>
  <c r="I10" i="31"/>
  <c r="I9" i="31"/>
  <c r="I8" i="31"/>
  <c r="I7" i="31"/>
  <c r="I6" i="31"/>
  <c r="A4" i="31"/>
  <c r="A3" i="31"/>
  <c r="A25" i="26"/>
  <c r="L24" i="26"/>
  <c r="A24" i="26"/>
  <c r="H23" i="26"/>
  <c r="C13" i="17" s="1"/>
  <c r="N20" i="26"/>
  <c r="L20" i="26"/>
  <c r="K20" i="26"/>
  <c r="Q19" i="26"/>
  <c r="N19" i="26"/>
  <c r="L19" i="26"/>
  <c r="K19" i="26"/>
  <c r="Q18" i="26"/>
  <c r="N18" i="26"/>
  <c r="L18" i="26"/>
  <c r="K18" i="26"/>
  <c r="N17" i="26"/>
  <c r="L17" i="26"/>
  <c r="K17" i="26"/>
  <c r="N16" i="26"/>
  <c r="L16" i="26"/>
  <c r="K16" i="26"/>
  <c r="N15" i="26"/>
  <c r="L15" i="26"/>
  <c r="Q15" i="26" s="1"/>
  <c r="K15" i="26"/>
  <c r="N14" i="26"/>
  <c r="L14" i="26"/>
  <c r="Q14" i="26" s="1"/>
  <c r="K14" i="26"/>
  <c r="N13" i="26"/>
  <c r="L13" i="26"/>
  <c r="K13" i="26"/>
  <c r="N12" i="26"/>
  <c r="L12" i="26"/>
  <c r="K12" i="26"/>
  <c r="N11" i="26"/>
  <c r="L11" i="26"/>
  <c r="Q11" i="26" s="1"/>
  <c r="K11" i="26"/>
  <c r="N10" i="26"/>
  <c r="L10" i="26"/>
  <c r="Q10" i="26" s="1"/>
  <c r="K10" i="26"/>
  <c r="N9" i="26"/>
  <c r="L9" i="26"/>
  <c r="K9" i="26"/>
  <c r="N8" i="26"/>
  <c r="L8" i="26"/>
  <c r="K8" i="26"/>
  <c r="N7" i="26"/>
  <c r="L7" i="26"/>
  <c r="Q7" i="26" s="1"/>
  <c r="K7" i="26"/>
  <c r="V5" i="26"/>
  <c r="V20" i="26" s="1"/>
  <c r="A4" i="26"/>
  <c r="A3" i="26"/>
  <c r="A29" i="116"/>
  <c r="M28" i="116"/>
  <c r="A28" i="116"/>
  <c r="P27" i="116"/>
  <c r="M27" i="116"/>
  <c r="Q27" i="116" s="1"/>
  <c r="H27" i="116"/>
  <c r="Q25" i="116"/>
  <c r="G25" i="116"/>
  <c r="Q24" i="116"/>
  <c r="G24" i="116"/>
  <c r="Q23" i="116"/>
  <c r="G23" i="116"/>
  <c r="Q22" i="116"/>
  <c r="G22" i="116"/>
  <c r="Q21" i="116"/>
  <c r="G21" i="116"/>
  <c r="Q20" i="116"/>
  <c r="G20" i="116"/>
  <c r="Q19" i="116"/>
  <c r="G19" i="116"/>
  <c r="Q18" i="116"/>
  <c r="G18" i="116"/>
  <c r="Q17" i="116"/>
  <c r="G17" i="116"/>
  <c r="Q16" i="116"/>
  <c r="G16" i="116"/>
  <c r="Q15" i="116"/>
  <c r="G15" i="116"/>
  <c r="Q14" i="116"/>
  <c r="G14" i="116"/>
  <c r="Q13" i="116"/>
  <c r="G13" i="116"/>
  <c r="Q12" i="116"/>
  <c r="G12" i="116"/>
  <c r="Q11" i="116"/>
  <c r="G11" i="116"/>
  <c r="Q10" i="116"/>
  <c r="G10" i="116"/>
  <c r="Q9" i="116"/>
  <c r="G9" i="116"/>
  <c r="Q8" i="116"/>
  <c r="G8" i="116"/>
  <c r="Q7" i="116"/>
  <c r="G7" i="116"/>
  <c r="A4" i="116"/>
  <c r="A3" i="116"/>
  <c r="A29" i="99"/>
  <c r="L28" i="99"/>
  <c r="A28" i="99"/>
  <c r="O27" i="99"/>
  <c r="L27" i="99"/>
  <c r="P27" i="99" s="1"/>
  <c r="G27" i="99"/>
  <c r="P25" i="99"/>
  <c r="F25" i="99"/>
  <c r="P24" i="99"/>
  <c r="F24" i="99"/>
  <c r="P23" i="99"/>
  <c r="F23" i="99"/>
  <c r="P22" i="99"/>
  <c r="F22" i="99"/>
  <c r="P21" i="99"/>
  <c r="F21" i="99"/>
  <c r="P20" i="99"/>
  <c r="F20" i="99"/>
  <c r="P19" i="99"/>
  <c r="F19" i="99"/>
  <c r="P18" i="99"/>
  <c r="F18" i="99"/>
  <c r="P17" i="99"/>
  <c r="F17" i="99"/>
  <c r="P16" i="99"/>
  <c r="F16" i="99"/>
  <c r="P15" i="99"/>
  <c r="F15" i="99"/>
  <c r="P14" i="99"/>
  <c r="F14" i="99"/>
  <c r="P13" i="99"/>
  <c r="F13" i="99"/>
  <c r="P12" i="99"/>
  <c r="F12" i="99"/>
  <c r="P11" i="99"/>
  <c r="F11" i="99"/>
  <c r="P10" i="99"/>
  <c r="F10" i="99"/>
  <c r="P9" i="99"/>
  <c r="F9" i="99"/>
  <c r="P8" i="99"/>
  <c r="F8" i="99"/>
  <c r="P7" i="99"/>
  <c r="F7" i="99"/>
  <c r="A4" i="99"/>
  <c r="A3" i="99"/>
  <c r="A28" i="23"/>
  <c r="L27" i="23"/>
  <c r="A27" i="23"/>
  <c r="O26" i="23"/>
  <c r="L26" i="23"/>
  <c r="P26" i="23" s="1"/>
  <c r="G26" i="23"/>
  <c r="P23" i="23"/>
  <c r="F23" i="23"/>
  <c r="P22" i="23"/>
  <c r="F22" i="23"/>
  <c r="P21" i="23"/>
  <c r="F21" i="23"/>
  <c r="P20" i="23"/>
  <c r="F20" i="23"/>
  <c r="P19" i="23"/>
  <c r="F19" i="23"/>
  <c r="P18" i="23"/>
  <c r="F18" i="23"/>
  <c r="P17" i="23"/>
  <c r="F17" i="23"/>
  <c r="AC16" i="23"/>
  <c r="AB16" i="23"/>
  <c r="AA16" i="23"/>
  <c r="Z16" i="23"/>
  <c r="P16" i="23"/>
  <c r="F16" i="23"/>
  <c r="AB15" i="23"/>
  <c r="AA15" i="23"/>
  <c r="Z15" i="23"/>
  <c r="AC15" i="23" s="1"/>
  <c r="W4" i="23" s="1"/>
  <c r="P15" i="23"/>
  <c r="F15" i="23"/>
  <c r="AB14" i="23"/>
  <c r="AA14" i="23"/>
  <c r="Z14" i="23"/>
  <c r="P14" i="23"/>
  <c r="F14" i="23"/>
  <c r="P13" i="23"/>
  <c r="F13" i="23"/>
  <c r="P12" i="23"/>
  <c r="F12" i="23"/>
  <c r="P11" i="23"/>
  <c r="F11" i="23"/>
  <c r="P10" i="23"/>
  <c r="F10" i="23"/>
  <c r="P9" i="23"/>
  <c r="F9" i="23"/>
  <c r="P8" i="23"/>
  <c r="F8" i="23"/>
  <c r="T7" i="23"/>
  <c r="P7" i="23"/>
  <c r="F7" i="23"/>
  <c r="A4" i="23"/>
  <c r="A3" i="23"/>
  <c r="A29" i="100"/>
  <c r="M28" i="100"/>
  <c r="A28" i="100"/>
  <c r="P27" i="100"/>
  <c r="M27" i="100"/>
  <c r="Q27" i="100" s="1"/>
  <c r="H27" i="100"/>
  <c r="Q25" i="100"/>
  <c r="G25" i="100"/>
  <c r="Q24" i="100"/>
  <c r="G24" i="100"/>
  <c r="Q23" i="100"/>
  <c r="G23" i="100"/>
  <c r="Q22" i="100"/>
  <c r="G22" i="100"/>
  <c r="Q21" i="100"/>
  <c r="G21" i="100"/>
  <c r="Q20" i="100"/>
  <c r="G20" i="100"/>
  <c r="Q19" i="100"/>
  <c r="G19" i="100"/>
  <c r="Q18" i="100"/>
  <c r="G18" i="100"/>
  <c r="Q17" i="100"/>
  <c r="G17" i="100"/>
  <c r="Q16" i="100"/>
  <c r="G16" i="100"/>
  <c r="Q15" i="100"/>
  <c r="G15" i="100"/>
  <c r="Q14" i="100"/>
  <c r="G14" i="100"/>
  <c r="Q13" i="100"/>
  <c r="G13" i="100"/>
  <c r="Q12" i="100"/>
  <c r="G12" i="100"/>
  <c r="Q11" i="100"/>
  <c r="G11" i="100"/>
  <c r="Q10" i="100"/>
  <c r="G10" i="100"/>
  <c r="Q9" i="100"/>
  <c r="G9" i="100"/>
  <c r="Q8" i="100"/>
  <c r="G8" i="100"/>
  <c r="Q7" i="100"/>
  <c r="G7" i="100"/>
  <c r="A4" i="100"/>
  <c r="A3" i="100"/>
  <c r="A25" i="20"/>
  <c r="L24" i="20"/>
  <c r="A24" i="20"/>
  <c r="O23" i="20"/>
  <c r="G23" i="20"/>
  <c r="L21" i="20"/>
  <c r="J21" i="20"/>
  <c r="F21" i="20"/>
  <c r="L20" i="20"/>
  <c r="J20" i="20"/>
  <c r="F20" i="20"/>
  <c r="L19" i="20"/>
  <c r="J19" i="20"/>
  <c r="F19" i="20"/>
  <c r="K19" i="20" s="1"/>
  <c r="L18" i="20"/>
  <c r="P18" i="20" s="1"/>
  <c r="J18" i="20"/>
  <c r="F18" i="20"/>
  <c r="P17" i="20" s="1"/>
  <c r="L17" i="20"/>
  <c r="J17" i="20"/>
  <c r="F17" i="20"/>
  <c r="L16" i="20"/>
  <c r="J16" i="20"/>
  <c r="F16" i="20"/>
  <c r="K16" i="20" s="1"/>
  <c r="L15" i="20"/>
  <c r="P15" i="20" s="1"/>
  <c r="J15" i="20"/>
  <c r="F15" i="20"/>
  <c r="L14" i="20"/>
  <c r="J14" i="20"/>
  <c r="F14" i="20"/>
  <c r="L13" i="20"/>
  <c r="J13" i="20"/>
  <c r="F13" i="20"/>
  <c r="K13" i="20" s="1"/>
  <c r="L12" i="20"/>
  <c r="J12" i="20"/>
  <c r="F12" i="20"/>
  <c r="L11" i="20"/>
  <c r="J11" i="20"/>
  <c r="F11" i="20"/>
  <c r="K11" i="20" s="1"/>
  <c r="L10" i="20"/>
  <c r="P10" i="20" s="1"/>
  <c r="J10" i="20"/>
  <c r="F10" i="20"/>
  <c r="K10" i="20" s="1"/>
  <c r="L9" i="20"/>
  <c r="J9" i="20"/>
  <c r="F9" i="20"/>
  <c r="L8" i="20"/>
  <c r="J8" i="20"/>
  <c r="F8" i="20"/>
  <c r="K8" i="20" s="1"/>
  <c r="L7" i="20"/>
  <c r="K7" i="20" s="1"/>
  <c r="J7" i="20"/>
  <c r="F7" i="20"/>
  <c r="A4" i="20"/>
  <c r="A3" i="20"/>
  <c r="A29" i="18"/>
  <c r="L28" i="18"/>
  <c r="A28" i="18"/>
  <c r="P27" i="18"/>
  <c r="O27" i="18"/>
  <c r="L27" i="18"/>
  <c r="G27" i="18"/>
  <c r="P25" i="18"/>
  <c r="F25" i="18"/>
  <c r="P24" i="18"/>
  <c r="F24" i="18"/>
  <c r="P23" i="18"/>
  <c r="F23" i="18"/>
  <c r="P22" i="18"/>
  <c r="F22" i="18"/>
  <c r="P21" i="18"/>
  <c r="F21" i="18"/>
  <c r="P20" i="18"/>
  <c r="F20" i="18"/>
  <c r="P19" i="18"/>
  <c r="F19" i="18"/>
  <c r="P18" i="18"/>
  <c r="F18" i="18"/>
  <c r="P17" i="18"/>
  <c r="F17" i="18"/>
  <c r="P16" i="18"/>
  <c r="F16" i="18"/>
  <c r="P15" i="18"/>
  <c r="F15" i="18"/>
  <c r="P14" i="18"/>
  <c r="F14" i="18"/>
  <c r="P13" i="18"/>
  <c r="F13" i="18"/>
  <c r="P12" i="18"/>
  <c r="F12" i="18"/>
  <c r="P11" i="18"/>
  <c r="F11" i="18"/>
  <c r="P10" i="18"/>
  <c r="F10" i="18"/>
  <c r="P9" i="18"/>
  <c r="F9" i="18"/>
  <c r="P8" i="18"/>
  <c r="F8" i="18"/>
  <c r="P7" i="18"/>
  <c r="F7" i="18"/>
  <c r="A4" i="18"/>
  <c r="A3" i="18"/>
  <c r="A29" i="19"/>
  <c r="L28" i="19"/>
  <c r="A28" i="19"/>
  <c r="O27" i="19"/>
  <c r="E6" i="17" s="1"/>
  <c r="L27" i="19"/>
  <c r="P27" i="19" s="1"/>
  <c r="G27" i="19"/>
  <c r="C6" i="17" s="1"/>
  <c r="P25" i="19"/>
  <c r="F25" i="19"/>
  <c r="P24" i="19"/>
  <c r="F24" i="19"/>
  <c r="P23" i="19"/>
  <c r="F23" i="19"/>
  <c r="P22" i="19"/>
  <c r="F22" i="19"/>
  <c r="P21" i="19"/>
  <c r="F21" i="19"/>
  <c r="P20" i="19"/>
  <c r="F20" i="19"/>
  <c r="P19" i="19"/>
  <c r="F19" i="19"/>
  <c r="P18" i="19"/>
  <c r="F18" i="19"/>
  <c r="P17" i="19"/>
  <c r="F17" i="19"/>
  <c r="P16" i="19"/>
  <c r="F16" i="19"/>
  <c r="P15" i="19"/>
  <c r="F15" i="19"/>
  <c r="P14" i="19"/>
  <c r="F14" i="19"/>
  <c r="P13" i="19"/>
  <c r="F13" i="19"/>
  <c r="P12" i="19"/>
  <c r="F12" i="19"/>
  <c r="P11" i="19"/>
  <c r="F11" i="19"/>
  <c r="P10" i="19"/>
  <c r="F10" i="19"/>
  <c r="P9" i="19"/>
  <c r="F9" i="19"/>
  <c r="P8" i="19"/>
  <c r="F8" i="19"/>
  <c r="P7" i="19"/>
  <c r="F7" i="19"/>
  <c r="A4" i="19"/>
  <c r="A3" i="19"/>
  <c r="A29" i="17"/>
  <c r="E28" i="17"/>
  <c r="A28" i="17"/>
  <c r="D26" i="17"/>
  <c r="G26" i="17" s="1"/>
  <c r="E13" i="17"/>
  <c r="E12" i="17"/>
  <c r="D11" i="17"/>
  <c r="C11" i="17"/>
  <c r="E10" i="17"/>
  <c r="C9" i="17"/>
  <c r="E8" i="17"/>
  <c r="C7" i="17"/>
  <c r="A4" i="17"/>
  <c r="A3" i="17"/>
  <c r="A29" i="16"/>
  <c r="P28" i="16"/>
  <c r="A28" i="16"/>
  <c r="R26" i="16"/>
  <c r="P25" i="16"/>
  <c r="R25" i="16" s="1"/>
  <c r="M25" i="16"/>
  <c r="Q24" i="16"/>
  <c r="P24" i="16"/>
  <c r="R24" i="16" s="1"/>
  <c r="N24" i="16"/>
  <c r="L24" i="16"/>
  <c r="L27" i="16" s="1"/>
  <c r="K27" i="16" s="1"/>
  <c r="K24" i="16"/>
  <c r="J24" i="16"/>
  <c r="J27" i="16" s="1"/>
  <c r="I24" i="16"/>
  <c r="I27" i="16" s="1"/>
  <c r="H24" i="16"/>
  <c r="G24" i="16"/>
  <c r="F24" i="16"/>
  <c r="R23" i="16"/>
  <c r="M23" i="16"/>
  <c r="R22" i="16"/>
  <c r="M22" i="16"/>
  <c r="R21" i="16"/>
  <c r="M21" i="16"/>
  <c r="R20" i="16"/>
  <c r="M20" i="16"/>
  <c r="R19" i="16"/>
  <c r="M19" i="16"/>
  <c r="R18" i="16"/>
  <c r="M18" i="16"/>
  <c r="R17" i="16"/>
  <c r="M17" i="16"/>
  <c r="R16" i="16"/>
  <c r="M16" i="16"/>
  <c r="R15" i="16"/>
  <c r="M15" i="16"/>
  <c r="R14" i="16"/>
  <c r="M14" i="16"/>
  <c r="R13" i="16"/>
  <c r="M13" i="16"/>
  <c r="R12" i="16"/>
  <c r="M12" i="16"/>
  <c r="R11" i="16"/>
  <c r="M11" i="16"/>
  <c r="R10" i="16"/>
  <c r="M10" i="16"/>
  <c r="R9" i="16"/>
  <c r="M9" i="16"/>
  <c r="R8" i="16"/>
  <c r="M8" i="16"/>
  <c r="R7" i="16"/>
  <c r="M7" i="16"/>
  <c r="R6" i="16"/>
  <c r="M6" i="16"/>
  <c r="A4" i="16"/>
  <c r="A3" i="16"/>
  <c r="A29" i="12"/>
  <c r="G28" i="12"/>
  <c r="A28" i="12"/>
  <c r="H27" i="12"/>
  <c r="G27" i="12"/>
  <c r="F12" i="3" s="1"/>
  <c r="E27" i="12"/>
  <c r="I25" i="12"/>
  <c r="I24" i="12"/>
  <c r="I23" i="12"/>
  <c r="I22" i="12"/>
  <c r="I21" i="12"/>
  <c r="I20" i="12"/>
  <c r="I19" i="12"/>
  <c r="I18" i="12"/>
  <c r="I17" i="12"/>
  <c r="I16" i="12"/>
  <c r="I15" i="12"/>
  <c r="I14" i="12"/>
  <c r="I13" i="12"/>
  <c r="I12" i="12"/>
  <c r="I11" i="12"/>
  <c r="I10" i="12"/>
  <c r="I9" i="12"/>
  <c r="I8" i="12"/>
  <c r="I7" i="12"/>
  <c r="I6" i="12"/>
  <c r="A4" i="12"/>
  <c r="A3" i="12"/>
  <c r="A29" i="13"/>
  <c r="I28" i="13"/>
  <c r="A28" i="13"/>
  <c r="J27" i="13"/>
  <c r="I27" i="13"/>
  <c r="K27" i="13" s="1"/>
  <c r="G27" i="13"/>
  <c r="D27" i="13"/>
  <c r="K25" i="13"/>
  <c r="K24" i="13"/>
  <c r="K23" i="13"/>
  <c r="K22" i="13"/>
  <c r="K21" i="13"/>
  <c r="K20" i="13"/>
  <c r="K19" i="13"/>
  <c r="K18" i="13"/>
  <c r="K17" i="13"/>
  <c r="K16" i="13"/>
  <c r="K15" i="13"/>
  <c r="K14" i="13"/>
  <c r="K13" i="13"/>
  <c r="K12" i="13"/>
  <c r="K11" i="13"/>
  <c r="K10" i="13"/>
  <c r="K9" i="13"/>
  <c r="K8" i="13"/>
  <c r="K7" i="13"/>
  <c r="K6" i="13"/>
  <c r="A4" i="13"/>
  <c r="A3" i="13"/>
  <c r="A29" i="14"/>
  <c r="I28" i="14"/>
  <c r="A28" i="14"/>
  <c r="J27" i="14"/>
  <c r="I27" i="14"/>
  <c r="K27" i="14" s="1"/>
  <c r="F27" i="14"/>
  <c r="E10" i="3" s="1"/>
  <c r="K26" i="14"/>
  <c r="K25" i="14"/>
  <c r="K24" i="14"/>
  <c r="K23" i="14"/>
  <c r="K22" i="14"/>
  <c r="K21" i="14"/>
  <c r="K20" i="14"/>
  <c r="K19" i="14"/>
  <c r="K18" i="14"/>
  <c r="K17" i="14"/>
  <c r="K16" i="14"/>
  <c r="K15" i="14"/>
  <c r="K14" i="14"/>
  <c r="K13" i="14"/>
  <c r="K12" i="14"/>
  <c r="K11" i="14"/>
  <c r="K10" i="14"/>
  <c r="K9" i="14"/>
  <c r="K8" i="14"/>
  <c r="K7" i="14"/>
  <c r="K6" i="14"/>
  <c r="A4" i="14"/>
  <c r="A3" i="14"/>
  <c r="A29" i="11"/>
  <c r="P28" i="11"/>
  <c r="A28" i="11"/>
  <c r="R26" i="11"/>
  <c r="P25" i="11"/>
  <c r="E74" i="2" s="1"/>
  <c r="M25" i="11"/>
  <c r="Q24" i="11"/>
  <c r="Q27" i="11" s="1"/>
  <c r="P24" i="11"/>
  <c r="R24" i="11" s="1"/>
  <c r="N24" i="11"/>
  <c r="L24" i="11"/>
  <c r="L27" i="11" s="1"/>
  <c r="K24" i="11"/>
  <c r="J24" i="11"/>
  <c r="I24" i="11"/>
  <c r="I27" i="11" s="1"/>
  <c r="H24" i="11"/>
  <c r="H27" i="11" s="1"/>
  <c r="G24" i="11"/>
  <c r="G27" i="11" s="1"/>
  <c r="F24" i="11"/>
  <c r="R23" i="11"/>
  <c r="M23" i="11"/>
  <c r="R22" i="11"/>
  <c r="M22" i="11"/>
  <c r="R21" i="11"/>
  <c r="M21" i="11"/>
  <c r="R20" i="11"/>
  <c r="M20" i="11"/>
  <c r="R19" i="11"/>
  <c r="M19" i="11"/>
  <c r="R18" i="11"/>
  <c r="M18" i="11"/>
  <c r="R17" i="11"/>
  <c r="M17" i="11"/>
  <c r="R16" i="11"/>
  <c r="M16" i="11"/>
  <c r="R15" i="11"/>
  <c r="M15" i="11"/>
  <c r="R14" i="11"/>
  <c r="M14" i="11"/>
  <c r="R13" i="11"/>
  <c r="M13" i="11"/>
  <c r="R12" i="11"/>
  <c r="M12" i="11"/>
  <c r="R11" i="11"/>
  <c r="M11" i="11"/>
  <c r="R10" i="11"/>
  <c r="M10" i="11"/>
  <c r="R9" i="11"/>
  <c r="M9" i="11"/>
  <c r="R8" i="11"/>
  <c r="M8" i="11"/>
  <c r="R7" i="11"/>
  <c r="M7" i="11"/>
  <c r="R6" i="11"/>
  <c r="M6" i="11"/>
  <c r="A4" i="11"/>
  <c r="A3" i="11"/>
  <c r="A29" i="98"/>
  <c r="I28" i="98"/>
  <c r="A28" i="98"/>
  <c r="J27" i="98"/>
  <c r="I27" i="98"/>
  <c r="K27" i="98" s="1"/>
  <c r="G27" i="98"/>
  <c r="K26" i="98"/>
  <c r="K25" i="98"/>
  <c r="K24" i="98"/>
  <c r="K23" i="98"/>
  <c r="K22" i="98"/>
  <c r="K21" i="98"/>
  <c r="K20" i="98"/>
  <c r="K19" i="98"/>
  <c r="K18" i="98"/>
  <c r="K17" i="98"/>
  <c r="K16" i="98"/>
  <c r="K15" i="98"/>
  <c r="K14" i="98"/>
  <c r="K13" i="98"/>
  <c r="K12" i="98"/>
  <c r="K11" i="98"/>
  <c r="K10" i="98"/>
  <c r="K9" i="98"/>
  <c r="K8" i="98"/>
  <c r="K7" i="98"/>
  <c r="K6" i="98"/>
  <c r="A4" i="98"/>
  <c r="A3" i="98"/>
  <c r="A29" i="121"/>
  <c r="J28" i="121"/>
  <c r="A28" i="121"/>
  <c r="L27" i="121"/>
  <c r="J27" i="121"/>
  <c r="M27" i="121" s="1"/>
  <c r="H27" i="121"/>
  <c r="C8" i="7" s="1"/>
  <c r="M25" i="121"/>
  <c r="M24" i="121"/>
  <c r="M23" i="121"/>
  <c r="M22" i="121"/>
  <c r="M21" i="121"/>
  <c r="M20" i="121"/>
  <c r="M19" i="121"/>
  <c r="M18" i="121"/>
  <c r="M17" i="121"/>
  <c r="M16" i="121"/>
  <c r="M15" i="121"/>
  <c r="M14" i="121"/>
  <c r="M13" i="121"/>
  <c r="M12" i="121"/>
  <c r="M11" i="121"/>
  <c r="M10" i="121"/>
  <c r="M9" i="121"/>
  <c r="M8" i="121"/>
  <c r="M7" i="121"/>
  <c r="M6" i="121"/>
  <c r="A4" i="121"/>
  <c r="A3" i="121"/>
  <c r="A29" i="9"/>
  <c r="J28" i="9"/>
  <c r="A28" i="9"/>
  <c r="K27" i="9"/>
  <c r="E7" i="7" s="1"/>
  <c r="J27" i="9"/>
  <c r="L27" i="9" s="1"/>
  <c r="H27" i="9"/>
  <c r="C7" i="7" s="1"/>
  <c r="L25" i="9"/>
  <c r="L24" i="9"/>
  <c r="L23" i="9"/>
  <c r="L22" i="9"/>
  <c r="L21" i="9"/>
  <c r="L20" i="9"/>
  <c r="L19" i="9"/>
  <c r="L18" i="9"/>
  <c r="L17" i="9"/>
  <c r="L16" i="9"/>
  <c r="L15" i="9"/>
  <c r="L14" i="9"/>
  <c r="L13" i="9"/>
  <c r="L12" i="9"/>
  <c r="L11" i="9"/>
  <c r="L10" i="9"/>
  <c r="L9" i="9"/>
  <c r="L8" i="9"/>
  <c r="L7" i="9"/>
  <c r="L6" i="9"/>
  <c r="A4" i="9"/>
  <c r="A3" i="9"/>
  <c r="A29" i="8"/>
  <c r="I28" i="8"/>
  <c r="A28" i="8"/>
  <c r="K27" i="8"/>
  <c r="I27" i="8"/>
  <c r="L27" i="8" s="1"/>
  <c r="G27" i="8"/>
  <c r="L25" i="8"/>
  <c r="L24" i="8"/>
  <c r="L23" i="8"/>
  <c r="L22" i="8"/>
  <c r="L21" i="8"/>
  <c r="L20" i="8"/>
  <c r="L19" i="8"/>
  <c r="L18" i="8"/>
  <c r="L17" i="8"/>
  <c r="L16" i="8"/>
  <c r="L15" i="8"/>
  <c r="L14" i="8"/>
  <c r="L13" i="8"/>
  <c r="L12" i="8"/>
  <c r="L11" i="8"/>
  <c r="L10" i="8"/>
  <c r="L9" i="8"/>
  <c r="L8" i="8"/>
  <c r="L7" i="8"/>
  <c r="L6" i="8"/>
  <c r="A4" i="8"/>
  <c r="A3" i="8"/>
  <c r="A29" i="7"/>
  <c r="D28" i="7"/>
  <c r="A28" i="7"/>
  <c r="E8" i="7"/>
  <c r="D8" i="7"/>
  <c r="E6" i="7"/>
  <c r="C6" i="7"/>
  <c r="A4" i="7"/>
  <c r="A3" i="7"/>
  <c r="A29" i="6"/>
  <c r="I28" i="6"/>
  <c r="A28" i="6"/>
  <c r="J27" i="6"/>
  <c r="I27" i="6"/>
  <c r="K27" i="6" s="1"/>
  <c r="G27" i="6"/>
  <c r="K25" i="6"/>
  <c r="K24" i="6"/>
  <c r="K23" i="6"/>
  <c r="K22" i="6"/>
  <c r="K21" i="6"/>
  <c r="K20" i="6"/>
  <c r="K19" i="6"/>
  <c r="K18" i="6"/>
  <c r="K17" i="6"/>
  <c r="K16" i="6"/>
  <c r="K15" i="6"/>
  <c r="K14" i="6"/>
  <c r="K13" i="6"/>
  <c r="K12" i="6"/>
  <c r="K11" i="6"/>
  <c r="K10" i="6"/>
  <c r="K9" i="6"/>
  <c r="K8" i="6"/>
  <c r="K7" i="6"/>
  <c r="K6" i="6"/>
  <c r="A4" i="6"/>
  <c r="A3" i="6"/>
  <c r="A29" i="5"/>
  <c r="I28" i="5"/>
  <c r="A28" i="5"/>
  <c r="J27" i="5"/>
  <c r="I27" i="5"/>
  <c r="K27" i="5" s="1"/>
  <c r="G27" i="5"/>
  <c r="K25" i="5"/>
  <c r="K24" i="5"/>
  <c r="K23" i="5"/>
  <c r="K22" i="5"/>
  <c r="K21" i="5"/>
  <c r="K20" i="5"/>
  <c r="K19" i="5"/>
  <c r="K18" i="5"/>
  <c r="K17" i="5"/>
  <c r="K16" i="5"/>
  <c r="K15" i="5"/>
  <c r="K14" i="5"/>
  <c r="K13" i="5"/>
  <c r="K12" i="5"/>
  <c r="K11" i="5"/>
  <c r="K10" i="5"/>
  <c r="K9" i="5"/>
  <c r="K8" i="5"/>
  <c r="K7" i="5"/>
  <c r="K6" i="5"/>
  <c r="A4" i="5"/>
  <c r="A3" i="5"/>
  <c r="A29" i="4"/>
  <c r="H28" i="4"/>
  <c r="A28" i="4"/>
  <c r="I27" i="4"/>
  <c r="H27" i="4"/>
  <c r="J27" i="4" s="1"/>
  <c r="F27" i="4"/>
  <c r="J25" i="4"/>
  <c r="J24" i="4"/>
  <c r="J23" i="4"/>
  <c r="J22" i="4"/>
  <c r="J21" i="4"/>
  <c r="J20" i="4"/>
  <c r="J19" i="4"/>
  <c r="J18" i="4"/>
  <c r="J17" i="4"/>
  <c r="J16" i="4"/>
  <c r="J15" i="4"/>
  <c r="J14" i="4"/>
  <c r="J13" i="4"/>
  <c r="J12" i="4"/>
  <c r="J11" i="4"/>
  <c r="J10" i="4"/>
  <c r="J9" i="4"/>
  <c r="J8" i="4"/>
  <c r="J7" i="4"/>
  <c r="J6" i="4"/>
  <c r="A4" i="4"/>
  <c r="A3" i="4"/>
  <c r="A29" i="3"/>
  <c r="G28" i="3"/>
  <c r="A28" i="3"/>
  <c r="I25" i="3"/>
  <c r="I24" i="3"/>
  <c r="I23" i="3"/>
  <c r="I22" i="3"/>
  <c r="I21" i="3"/>
  <c r="I20" i="3"/>
  <c r="I19" i="3"/>
  <c r="I18" i="3"/>
  <c r="I17" i="3"/>
  <c r="E15" i="3"/>
  <c r="C16" i="2" s="1"/>
  <c r="G11" i="3"/>
  <c r="F11" i="3"/>
  <c r="I11" i="3" s="1"/>
  <c r="E11" i="3"/>
  <c r="E8" i="3"/>
  <c r="C9" i="2" s="1"/>
  <c r="G6" i="3"/>
  <c r="A4" i="3"/>
  <c r="A3" i="3"/>
  <c r="L90" i="2"/>
  <c r="J90" i="2"/>
  <c r="H90" i="2"/>
  <c r="G90" i="2"/>
  <c r="D90" i="2"/>
  <c r="F89" i="2"/>
  <c r="E89" i="2"/>
  <c r="H89" i="2" s="1"/>
  <c r="C89" i="2"/>
  <c r="J89" i="2" s="1"/>
  <c r="F88" i="2"/>
  <c r="E88" i="2"/>
  <c r="H88" i="2" s="1"/>
  <c r="C88" i="2"/>
  <c r="J88" i="2" s="1"/>
  <c r="F87" i="2"/>
  <c r="E87" i="2"/>
  <c r="H87" i="2" s="1"/>
  <c r="C87" i="2"/>
  <c r="J87" i="2" s="1"/>
  <c r="L86" i="2"/>
  <c r="J86" i="2"/>
  <c r="H86" i="2"/>
  <c r="G86" i="2"/>
  <c r="D86" i="2"/>
  <c r="F85" i="2"/>
  <c r="E85" i="2"/>
  <c r="C85" i="2"/>
  <c r="L85" i="2" s="1"/>
  <c r="F84" i="2"/>
  <c r="G84" i="2" s="1"/>
  <c r="E84" i="2"/>
  <c r="H84" i="2" s="1"/>
  <c r="C84" i="2"/>
  <c r="L84" i="2" s="1"/>
  <c r="F83" i="2"/>
  <c r="E83" i="2"/>
  <c r="H83" i="2" s="1"/>
  <c r="C83" i="2"/>
  <c r="J83" i="2" s="1"/>
  <c r="F82" i="2"/>
  <c r="E82" i="2"/>
  <c r="H82" i="2" s="1"/>
  <c r="C82" i="2"/>
  <c r="J82" i="2" s="1"/>
  <c r="F81" i="2"/>
  <c r="E81" i="2"/>
  <c r="H81" i="2" s="1"/>
  <c r="C81" i="2"/>
  <c r="L81" i="2" s="1"/>
  <c r="F80" i="2"/>
  <c r="C80" i="2"/>
  <c r="F79" i="2"/>
  <c r="C79" i="2"/>
  <c r="J79" i="2" s="1"/>
  <c r="F78" i="2"/>
  <c r="C78" i="2"/>
  <c r="F77" i="2"/>
  <c r="E77" i="2"/>
  <c r="H77" i="2" s="1"/>
  <c r="C77" i="2"/>
  <c r="J77" i="2" s="1"/>
  <c r="F76" i="2"/>
  <c r="C76" i="2"/>
  <c r="L76" i="2" s="1"/>
  <c r="F75" i="2"/>
  <c r="C75" i="2"/>
  <c r="J75" i="2" s="1"/>
  <c r="F74" i="2"/>
  <c r="C74" i="2"/>
  <c r="J74" i="2" s="1"/>
  <c r="K73" i="2"/>
  <c r="I73" i="2"/>
  <c r="K64" i="2"/>
  <c r="K63" i="2"/>
  <c r="L63" i="2" s="1"/>
  <c r="J63" i="2"/>
  <c r="H63" i="2"/>
  <c r="K62" i="2"/>
  <c r="K61" i="2"/>
  <c r="J61" i="2"/>
  <c r="H61" i="2"/>
  <c r="K60" i="2"/>
  <c r="I60" i="2"/>
  <c r="K59" i="2"/>
  <c r="I59" i="2"/>
  <c r="E59" i="2"/>
  <c r="K58" i="2"/>
  <c r="I58" i="2"/>
  <c r="F58" i="2"/>
  <c r="E58" i="2"/>
  <c r="K57" i="2"/>
  <c r="I57" i="2"/>
  <c r="F57" i="2"/>
  <c r="E57" i="2"/>
  <c r="K56" i="2"/>
  <c r="I56" i="2"/>
  <c r="E56" i="2"/>
  <c r="H56" i="2" s="1"/>
  <c r="C56" i="2"/>
  <c r="K55" i="2"/>
  <c r="I55" i="2"/>
  <c r="F55" i="2"/>
  <c r="E55" i="2" s="1"/>
  <c r="C55" i="2"/>
  <c r="K54" i="2"/>
  <c r="I54" i="2"/>
  <c r="E54" i="2"/>
  <c r="K53" i="2"/>
  <c r="K52" i="2"/>
  <c r="J52" i="2"/>
  <c r="H52" i="2"/>
  <c r="K51" i="2"/>
  <c r="I51" i="2"/>
  <c r="F51" i="2"/>
  <c r="E51" i="2"/>
  <c r="H51" i="2" s="1"/>
  <c r="C51" i="2"/>
  <c r="K50" i="2"/>
  <c r="I50" i="2"/>
  <c r="E50" i="2"/>
  <c r="H50" i="2" s="1"/>
  <c r="K49" i="2"/>
  <c r="I49" i="2"/>
  <c r="K48" i="2"/>
  <c r="I48" i="2"/>
  <c r="F48" i="2"/>
  <c r="E48" i="2" s="1"/>
  <c r="H48" i="2" s="1"/>
  <c r="C48" i="2"/>
  <c r="K47" i="2"/>
  <c r="I47" i="2"/>
  <c r="F47" i="2"/>
  <c r="E47" i="2"/>
  <c r="H47" i="2" s="1"/>
  <c r="C47" i="2"/>
  <c r="J47" i="2" s="1"/>
  <c r="K46" i="2"/>
  <c r="I46" i="2"/>
  <c r="E46" i="2"/>
  <c r="H46" i="2" s="1"/>
  <c r="K45" i="2"/>
  <c r="I45" i="2"/>
  <c r="F45" i="2"/>
  <c r="E45" i="2" s="1"/>
  <c r="K44" i="2"/>
  <c r="I44" i="2"/>
  <c r="C44" i="2"/>
  <c r="K43" i="2"/>
  <c r="I43" i="2"/>
  <c r="F43" i="2"/>
  <c r="E43" i="2"/>
  <c r="H43" i="2" s="1"/>
  <c r="K42" i="2"/>
  <c r="I42" i="2"/>
  <c r="E42" i="2"/>
  <c r="K41" i="2"/>
  <c r="I41" i="2"/>
  <c r="K40" i="2"/>
  <c r="I40" i="2"/>
  <c r="F40" i="2"/>
  <c r="E40" i="2"/>
  <c r="H40" i="2" s="1"/>
  <c r="C40" i="2"/>
  <c r="K39" i="2"/>
  <c r="K38" i="2"/>
  <c r="K37" i="2"/>
  <c r="J37" i="2"/>
  <c r="H37" i="2"/>
  <c r="K36" i="2"/>
  <c r="I36" i="2"/>
  <c r="K35" i="2"/>
  <c r="I35" i="2"/>
  <c r="K34" i="2"/>
  <c r="I34" i="2"/>
  <c r="K33" i="2"/>
  <c r="I33" i="2"/>
  <c r="K32" i="2"/>
  <c r="I32" i="2"/>
  <c r="F32" i="2"/>
  <c r="K31" i="2"/>
  <c r="I31" i="2"/>
  <c r="K30" i="2"/>
  <c r="I30" i="2"/>
  <c r="K29" i="2"/>
  <c r="I29" i="2"/>
  <c r="E29" i="2"/>
  <c r="H29" i="2" s="1"/>
  <c r="K28" i="2"/>
  <c r="I28" i="2"/>
  <c r="C28" i="2"/>
  <c r="K27" i="2"/>
  <c r="I27" i="2"/>
  <c r="K26" i="2"/>
  <c r="I26" i="2"/>
  <c r="K25" i="2"/>
  <c r="I25" i="2"/>
  <c r="K24" i="2"/>
  <c r="I24" i="2"/>
  <c r="K23" i="2"/>
  <c r="I23" i="2"/>
  <c r="K22" i="2"/>
  <c r="I22" i="2"/>
  <c r="K21" i="2"/>
  <c r="I21" i="2"/>
  <c r="K20" i="2"/>
  <c r="I20" i="2"/>
  <c r="K19" i="2"/>
  <c r="K18" i="2"/>
  <c r="J18" i="2"/>
  <c r="H18" i="2"/>
  <c r="K17" i="2"/>
  <c r="I17" i="2"/>
  <c r="K16" i="2"/>
  <c r="I16" i="2"/>
  <c r="K15" i="2"/>
  <c r="I15" i="2"/>
  <c r="K14" i="2"/>
  <c r="I14" i="2"/>
  <c r="K13" i="2"/>
  <c r="I13" i="2"/>
  <c r="K12" i="2"/>
  <c r="I12" i="2"/>
  <c r="E12" i="2"/>
  <c r="H12" i="2" s="1"/>
  <c r="K11" i="2"/>
  <c r="I11" i="2"/>
  <c r="K10" i="2"/>
  <c r="I10" i="2"/>
  <c r="K9" i="2"/>
  <c r="I9" i="2"/>
  <c r="K8" i="2"/>
  <c r="I8" i="2"/>
  <c r="K7" i="2"/>
  <c r="I7" i="2"/>
  <c r="F7" i="2"/>
  <c r="K6" i="2"/>
  <c r="A4" i="2"/>
  <c r="A3" i="2"/>
  <c r="G82" i="2" l="1"/>
  <c r="L42" i="2"/>
  <c r="H11" i="3"/>
  <c r="K26" i="36"/>
  <c r="F21" i="125"/>
  <c r="F8" i="7"/>
  <c r="J21" i="2"/>
  <c r="S27" i="138"/>
  <c r="D6" i="7"/>
  <c r="K9" i="20"/>
  <c r="P19" i="20"/>
  <c r="D80" i="2"/>
  <c r="D40" i="2"/>
  <c r="E78" i="2"/>
  <c r="H78" i="2" s="1"/>
  <c r="M24" i="11"/>
  <c r="H27" i="16"/>
  <c r="Q27" i="138"/>
  <c r="P27" i="138" s="1"/>
  <c r="D10" i="125" s="1"/>
  <c r="G10" i="125" s="1"/>
  <c r="E79" i="2"/>
  <c r="H79" i="2" s="1"/>
  <c r="M24" i="16"/>
  <c r="K12" i="20"/>
  <c r="P14" i="20"/>
  <c r="P20" i="20"/>
  <c r="X4" i="23"/>
  <c r="H26" i="33"/>
  <c r="N27" i="138"/>
  <c r="J28" i="2"/>
  <c r="L45" i="2"/>
  <c r="J51" i="2"/>
  <c r="L57" i="2"/>
  <c r="L58" i="2"/>
  <c r="E76" i="2"/>
  <c r="G76" i="2" s="1"/>
  <c r="D9" i="17"/>
  <c r="G9" i="17" s="1"/>
  <c r="D12" i="17"/>
  <c r="C12" i="17" s="1"/>
  <c r="D6" i="17"/>
  <c r="G6" i="17" s="1"/>
  <c r="F6" i="17" s="1"/>
  <c r="K14" i="20"/>
  <c r="P16" i="20"/>
  <c r="P21" i="20"/>
  <c r="I27" i="36"/>
  <c r="K27" i="36" s="1"/>
  <c r="D79" i="2"/>
  <c r="D85" i="2"/>
  <c r="E27" i="7"/>
  <c r="E32" i="2"/>
  <c r="G32" i="2" s="1"/>
  <c r="F35" i="2"/>
  <c r="G35" i="2" s="1"/>
  <c r="G43" i="2"/>
  <c r="H57" i="2"/>
  <c r="H58" i="2"/>
  <c r="L59" i="2"/>
  <c r="H42" i="2"/>
  <c r="L43" i="2"/>
  <c r="G51" i="2"/>
  <c r="G58" i="2"/>
  <c r="G77" i="2"/>
  <c r="G78" i="2"/>
  <c r="D81" i="2"/>
  <c r="G83" i="2"/>
  <c r="J84" i="2"/>
  <c r="G6" i="7"/>
  <c r="F6" i="7" s="1"/>
  <c r="J22" i="2"/>
  <c r="J23" i="2"/>
  <c r="E12" i="3"/>
  <c r="E13" i="2"/>
  <c r="C10" i="125"/>
  <c r="E24" i="2"/>
  <c r="L24" i="2" s="1"/>
  <c r="H74" i="2"/>
  <c r="G74" i="2"/>
  <c r="D35" i="2"/>
  <c r="C11" i="2"/>
  <c r="J11" i="2" s="1"/>
  <c r="D9" i="125"/>
  <c r="L83" i="2"/>
  <c r="P27" i="11"/>
  <c r="G27" i="16"/>
  <c r="L23" i="20"/>
  <c r="P23" i="20" s="1"/>
  <c r="C25" i="33"/>
  <c r="L35" i="2"/>
  <c r="F16" i="3"/>
  <c r="F27" i="16"/>
  <c r="P27" i="16"/>
  <c r="J16" i="2"/>
  <c r="J40" i="2"/>
  <c r="G48" i="2"/>
  <c r="L48" i="2"/>
  <c r="J55" i="2"/>
  <c r="G79" i="2"/>
  <c r="G81" i="2"/>
  <c r="H85" i="2"/>
  <c r="G85" i="2" s="1"/>
  <c r="F8" i="3"/>
  <c r="F15" i="3"/>
  <c r="I15" i="3" s="1"/>
  <c r="R25" i="11"/>
  <c r="R27" i="11"/>
  <c r="I27" i="12"/>
  <c r="D10" i="17"/>
  <c r="C10" i="17" s="1"/>
  <c r="F26" i="17"/>
  <c r="P7" i="20"/>
  <c r="P9" i="20"/>
  <c r="P12" i="20"/>
  <c r="P13" i="20"/>
  <c r="K18" i="20"/>
  <c r="K21" i="20"/>
  <c r="AC14" i="23"/>
  <c r="U4" i="23" s="1"/>
  <c r="W7" i="23" s="1"/>
  <c r="G13" i="125"/>
  <c r="F18" i="125"/>
  <c r="K25" i="36"/>
  <c r="L29" i="2"/>
  <c r="J81" i="2"/>
  <c r="F27" i="11"/>
  <c r="E9" i="3" s="1"/>
  <c r="K27" i="11"/>
  <c r="J27" i="11" s="1"/>
  <c r="J27" i="124"/>
  <c r="D7" i="125" s="1"/>
  <c r="G27" i="127"/>
  <c r="E27" i="2"/>
  <c r="L27" i="2" s="1"/>
  <c r="G47" i="2"/>
  <c r="L54" i="2"/>
  <c r="L55" i="2"/>
  <c r="D56" i="2"/>
  <c r="E75" i="2"/>
  <c r="H75" i="2" s="1"/>
  <c r="G75" i="2" s="1"/>
  <c r="J76" i="2"/>
  <c r="L77" i="2"/>
  <c r="G80" i="2"/>
  <c r="G87" i="2"/>
  <c r="G88" i="2"/>
  <c r="G89" i="2"/>
  <c r="F6" i="3"/>
  <c r="H6" i="3" s="1"/>
  <c r="D7" i="7"/>
  <c r="G7" i="7" s="1"/>
  <c r="P8" i="20"/>
  <c r="P11" i="20"/>
  <c r="K15" i="20"/>
  <c r="K17" i="20"/>
  <c r="K20" i="20"/>
  <c r="E7" i="125"/>
  <c r="E10" i="125"/>
  <c r="F24" i="2" s="1"/>
  <c r="G18" i="125"/>
  <c r="E7" i="33"/>
  <c r="H7" i="33" s="1"/>
  <c r="C27" i="7"/>
  <c r="G8" i="7" s="1"/>
  <c r="Q20" i="26"/>
  <c r="X20" i="26"/>
  <c r="W20" i="26" s="1"/>
  <c r="G40" i="2"/>
  <c r="J44" i="2"/>
  <c r="L46" i="2"/>
  <c r="L50" i="2"/>
  <c r="D55" i="2"/>
  <c r="J56" i="2"/>
  <c r="G57" i="2"/>
  <c r="H59" i="2"/>
  <c r="D74" i="2"/>
  <c r="L75" i="2"/>
  <c r="D78" i="2"/>
  <c r="J78" i="2"/>
  <c r="L79" i="2"/>
  <c r="H80" i="2"/>
  <c r="L82" i="2"/>
  <c r="J85" i="2"/>
  <c r="D87" i="2"/>
  <c r="D88" i="2"/>
  <c r="D89" i="2"/>
  <c r="F10" i="17"/>
  <c r="V7" i="26"/>
  <c r="V11" i="26"/>
  <c r="X11" i="26" s="1"/>
  <c r="W11" i="26" s="1"/>
  <c r="V15" i="26"/>
  <c r="W15" i="26" s="1"/>
  <c r="J9" i="2"/>
  <c r="V9" i="26"/>
  <c r="V19" i="26"/>
  <c r="J35" i="2"/>
  <c r="H45" i="2"/>
  <c r="D47" i="2"/>
  <c r="D48" i="2"/>
  <c r="J48" i="2"/>
  <c r="D51" i="2"/>
  <c r="H54" i="2"/>
  <c r="H55" i="2"/>
  <c r="G55" i="2" s="1"/>
  <c r="F73" i="2"/>
  <c r="F91" i="2" s="1"/>
  <c r="L74" i="2"/>
  <c r="H76" i="2"/>
  <c r="D77" i="2"/>
  <c r="L80" i="2"/>
  <c r="D82" i="2"/>
  <c r="L87" i="2"/>
  <c r="L88" i="2"/>
  <c r="L89" i="2"/>
  <c r="I12" i="3"/>
  <c r="F12" i="17"/>
  <c r="V8" i="26"/>
  <c r="X8" i="26" s="1"/>
  <c r="V10" i="26"/>
  <c r="X10" i="26" s="1"/>
  <c r="W10" i="26" s="1"/>
  <c r="V13" i="26"/>
  <c r="V17" i="26"/>
  <c r="H24" i="2"/>
  <c r="G45" i="2"/>
  <c r="L47" i="2"/>
  <c r="L51" i="2"/>
  <c r="J73" i="2"/>
  <c r="L78" i="2"/>
  <c r="J80" i="2"/>
  <c r="D83" i="2"/>
  <c r="D84" i="2"/>
  <c r="G10" i="17"/>
  <c r="G11" i="17"/>
  <c r="V12" i="26"/>
  <c r="V14" i="26"/>
  <c r="V16" i="26"/>
  <c r="X16" i="26" s="1"/>
  <c r="V18" i="26"/>
  <c r="X18" i="26" s="1"/>
  <c r="W18" i="26" s="1"/>
  <c r="G15" i="125"/>
  <c r="A4" i="138"/>
  <c r="A4" i="139" s="1"/>
  <c r="A4" i="140" s="1"/>
  <c r="A4" i="141" s="1"/>
  <c r="D8" i="17" l="1"/>
  <c r="F7" i="125"/>
  <c r="G12" i="17"/>
  <c r="L73" i="2"/>
  <c r="E73" i="2"/>
  <c r="H73" i="2" s="1"/>
  <c r="G73" i="2" s="1"/>
  <c r="G91" i="2" s="1"/>
  <c r="D76" i="2"/>
  <c r="D75" i="2"/>
  <c r="H32" i="2"/>
  <c r="G7" i="33"/>
  <c r="L32" i="2"/>
  <c r="I8" i="3"/>
  <c r="E9" i="2"/>
  <c r="N27" i="16"/>
  <c r="M27" i="16" s="1"/>
  <c r="F13" i="3"/>
  <c r="R27" i="16"/>
  <c r="Q27" i="16" s="1"/>
  <c r="C8" i="17"/>
  <c r="C25" i="17" s="1"/>
  <c r="G8" i="17"/>
  <c r="E16" i="3"/>
  <c r="E17" i="2"/>
  <c r="H16" i="3"/>
  <c r="L13" i="2"/>
  <c r="H13" i="2"/>
  <c r="G7" i="125"/>
  <c r="E21" i="2"/>
  <c r="N27" i="11"/>
  <c r="M27" i="11" s="1"/>
  <c r="F9" i="3"/>
  <c r="H27" i="2"/>
  <c r="L91" i="2"/>
  <c r="K91" i="2" s="1"/>
  <c r="D73" i="2"/>
  <c r="C73" i="2" s="1"/>
  <c r="D27" i="7"/>
  <c r="F7" i="7"/>
  <c r="E6" i="3"/>
  <c r="E7" i="2"/>
  <c r="I27" i="127"/>
  <c r="D8" i="125"/>
  <c r="G9" i="125"/>
  <c r="E23" i="2"/>
  <c r="I16" i="3"/>
  <c r="F10" i="125"/>
  <c r="I6" i="3"/>
  <c r="F8" i="17"/>
  <c r="L27" i="124"/>
  <c r="G24" i="2"/>
  <c r="X15" i="26"/>
  <c r="Q13" i="26"/>
  <c r="W13" i="26"/>
  <c r="X13" i="26"/>
  <c r="W7" i="26"/>
  <c r="X7" i="26"/>
  <c r="J91" i="2"/>
  <c r="I91" i="2" s="1"/>
  <c r="E91" i="2"/>
  <c r="E7" i="3"/>
  <c r="Q12" i="26"/>
  <c r="X12" i="26"/>
  <c r="W12" i="26" s="1"/>
  <c r="W14" i="26"/>
  <c r="X14" i="26"/>
  <c r="Q16" i="26"/>
  <c r="W16" i="26"/>
  <c r="Q17" i="26"/>
  <c r="W17" i="26"/>
  <c r="X17" i="26"/>
  <c r="Q8" i="26"/>
  <c r="W8" i="26"/>
  <c r="X19" i="26"/>
  <c r="W19" i="26"/>
  <c r="Q9" i="26"/>
  <c r="X9" i="26"/>
  <c r="W9" i="26"/>
  <c r="F8" i="125" l="1"/>
  <c r="E22" i="2"/>
  <c r="G8" i="125"/>
  <c r="L17" i="2"/>
  <c r="G17" i="2"/>
  <c r="H17" i="2"/>
  <c r="H21" i="2"/>
  <c r="D21" i="2"/>
  <c r="L21" i="2"/>
  <c r="H9" i="2"/>
  <c r="L9" i="2"/>
  <c r="D9" i="2"/>
  <c r="D91" i="2"/>
  <c r="C91" i="2" s="1"/>
  <c r="L23" i="2"/>
  <c r="D23" i="2"/>
  <c r="H23" i="2"/>
  <c r="L7" i="2"/>
  <c r="G7" i="2"/>
  <c r="H7" i="2"/>
  <c r="F7" i="3"/>
  <c r="G27" i="7"/>
  <c r="F27" i="7" s="1"/>
  <c r="E10" i="2"/>
  <c r="I9" i="3"/>
  <c r="E13" i="3"/>
  <c r="E14" i="2"/>
  <c r="I13" i="3"/>
  <c r="H91" i="2"/>
  <c r="D11" i="125"/>
  <c r="C8" i="2"/>
  <c r="J8" i="2" s="1"/>
  <c r="H10" i="2" l="1"/>
  <c r="L10" i="2"/>
  <c r="E8" i="2"/>
  <c r="I7" i="3"/>
  <c r="H14" i="2"/>
  <c r="L14" i="2"/>
  <c r="L22" i="2"/>
  <c r="D22" i="2"/>
  <c r="G22" i="2"/>
  <c r="H22" i="2"/>
  <c r="E25" i="2"/>
  <c r="A33" i="143"/>
  <c r="C15" i="143"/>
  <c r="C19" i="143" s="1"/>
  <c r="C21" i="143" s="1"/>
  <c r="B15" i="143"/>
  <c r="B19" i="143" s="1"/>
  <c r="B21" i="143" s="1"/>
  <c r="I40" i="109"/>
  <c r="F40" i="109"/>
  <c r="D37" i="109"/>
  <c r="I19" i="2" s="1"/>
  <c r="C37" i="109"/>
  <c r="I36" i="109"/>
  <c r="H36" i="109"/>
  <c r="I28" i="109"/>
  <c r="I53" i="2" s="1"/>
  <c r="H28" i="109"/>
  <c r="I19" i="109"/>
  <c r="I39" i="2" s="1"/>
  <c r="H19" i="109"/>
  <c r="D18" i="109"/>
  <c r="I6" i="2" s="1"/>
  <c r="C18" i="109"/>
  <c r="A4" i="109"/>
  <c r="A3" i="109"/>
  <c r="B41" i="108"/>
  <c r="G39" i="108"/>
  <c r="G38" i="108"/>
  <c r="J37" i="108"/>
  <c r="C5" i="108"/>
  <c r="A3" i="108"/>
  <c r="I29" i="109" l="1"/>
  <c r="I62" i="2" s="1"/>
  <c r="C38" i="109"/>
  <c r="H29" i="109"/>
  <c r="H38" i="109" s="1"/>
  <c r="H8" i="2"/>
  <c r="D8" i="2"/>
  <c r="L8" i="2"/>
  <c r="D38" i="109"/>
  <c r="C11" i="125"/>
  <c r="L25" i="2"/>
  <c r="A3" i="143"/>
  <c r="A2" i="143" s="1"/>
  <c r="I38" i="109" l="1"/>
  <c r="I39" i="109" s="1"/>
  <c r="H39" i="109" s="1"/>
  <c r="E6" i="33"/>
  <c r="H6" i="33" s="1"/>
  <c r="E8" i="33"/>
  <c r="H8" i="33" s="1"/>
  <c r="F6" i="33"/>
  <c r="F8" i="33"/>
  <c r="F21" i="2"/>
  <c r="E9" i="125"/>
  <c r="F23" i="2" s="1"/>
  <c r="G23" i="2" s="1"/>
  <c r="O8" i="26"/>
  <c r="P8" i="26" s="1"/>
  <c r="O16" i="26"/>
  <c r="P16" i="26" s="1"/>
  <c r="D20" i="125"/>
  <c r="E34" i="2" s="1"/>
  <c r="E20" i="125"/>
  <c r="F34" i="2" s="1"/>
  <c r="D8" i="131"/>
  <c r="G8" i="131" s="1"/>
  <c r="E8" i="131"/>
  <c r="E24" i="131" s="1"/>
  <c r="E26" i="131" s="1"/>
  <c r="O13" i="26"/>
  <c r="P13" i="26" s="1"/>
  <c r="D14" i="125"/>
  <c r="E28" i="2" s="1"/>
  <c r="D16" i="125"/>
  <c r="E30" i="2" s="1"/>
  <c r="D22" i="125"/>
  <c r="E36" i="2" s="1"/>
  <c r="O17" i="26"/>
  <c r="P17" i="26" s="1"/>
  <c r="O12" i="26"/>
  <c r="P12" i="26" s="1"/>
  <c r="R7" i="42"/>
  <c r="R8" i="42"/>
  <c r="R9" i="42"/>
  <c r="R10" i="42"/>
  <c r="R11" i="42"/>
  <c r="O9" i="26"/>
  <c r="P9" i="26" s="1"/>
  <c r="E13" i="125"/>
  <c r="F27" i="2" s="1"/>
  <c r="D7" i="17"/>
  <c r="F10" i="3"/>
  <c r="E11" i="2" s="1"/>
  <c r="H11" i="2" s="1"/>
  <c r="E16" i="2"/>
  <c r="H16" i="2" s="1"/>
  <c r="O20" i="26"/>
  <c r="P20" i="26" s="1"/>
  <c r="E14" i="125"/>
  <c r="F28" i="2" s="1"/>
  <c r="E16" i="125"/>
  <c r="F16" i="125" s="1"/>
  <c r="C16" i="125"/>
  <c r="C30" i="2" s="1"/>
  <c r="E15" i="125"/>
  <c r="F29" i="2" s="1"/>
  <c r="E22" i="125"/>
  <c r="F36" i="2" s="1"/>
  <c r="G7" i="3"/>
  <c r="H7" i="3" s="1"/>
  <c r="G8" i="3"/>
  <c r="H8" i="3" s="1"/>
  <c r="G9" i="3"/>
  <c r="F10" i="2" s="1"/>
  <c r="G10" i="2" s="1"/>
  <c r="G10" i="3"/>
  <c r="F11" i="2" s="1"/>
  <c r="G12" i="3"/>
  <c r="H12" i="3" s="1"/>
  <c r="G13" i="3"/>
  <c r="H13" i="3" s="1"/>
  <c r="E7" i="17"/>
  <c r="E9" i="17"/>
  <c r="E11" i="17"/>
  <c r="G15" i="3"/>
  <c r="H15" i="3" s="1"/>
  <c r="E7" i="55"/>
  <c r="F41" i="2" s="1"/>
  <c r="D7" i="55"/>
  <c r="E41" i="2" s="1"/>
  <c r="F42" i="2"/>
  <c r="G42" i="2" s="1"/>
  <c r="F44" i="2"/>
  <c r="E44" i="2"/>
  <c r="L44" i="2" s="1"/>
  <c r="F46" i="2"/>
  <c r="G46" i="2" s="1"/>
  <c r="E15" i="55"/>
  <c r="F49" i="2" s="1"/>
  <c r="D15" i="55"/>
  <c r="E49" i="2" s="1"/>
  <c r="E16" i="55"/>
  <c r="F50" i="2" s="1"/>
  <c r="G50" i="2" s="1"/>
  <c r="E6" i="70"/>
  <c r="F54" i="2" s="1"/>
  <c r="F56" i="2"/>
  <c r="G56" i="2" s="1"/>
  <c r="E11" i="70"/>
  <c r="F11" i="70" s="1"/>
  <c r="E12" i="70"/>
  <c r="F12" i="70" s="1"/>
  <c r="E60" i="2"/>
  <c r="L60" i="2" s="1"/>
  <c r="O10" i="26"/>
  <c r="P10" i="26" s="1"/>
  <c r="F9" i="17"/>
  <c r="F11" i="17"/>
  <c r="F8" i="2"/>
  <c r="F9" i="2"/>
  <c r="F12" i="2"/>
  <c r="C7" i="2"/>
  <c r="D7" i="2" s="1"/>
  <c r="C10" i="2"/>
  <c r="D10" i="2" s="1"/>
  <c r="C12" i="2"/>
  <c r="C13" i="2"/>
  <c r="D13" i="2" s="1"/>
  <c r="C14" i="2"/>
  <c r="D14" i="2" s="1"/>
  <c r="C27" i="17"/>
  <c r="E14" i="3" s="1"/>
  <c r="C17" i="2"/>
  <c r="J17" i="2" s="1"/>
  <c r="C27" i="33"/>
  <c r="C6" i="125" s="1"/>
  <c r="C20" i="2" s="1"/>
  <c r="C24" i="2"/>
  <c r="D24" i="2" s="1"/>
  <c r="C25" i="2"/>
  <c r="C27" i="2"/>
  <c r="D27" i="2" s="1"/>
  <c r="C29" i="2"/>
  <c r="C26" i="131"/>
  <c r="C17" i="125" s="1"/>
  <c r="C31" i="2" s="1"/>
  <c r="C32" i="2"/>
  <c r="C19" i="125"/>
  <c r="C33" i="2" s="1"/>
  <c r="C20" i="125"/>
  <c r="C34" i="2" s="1"/>
  <c r="C22" i="125"/>
  <c r="C36" i="2" s="1"/>
  <c r="O15" i="26"/>
  <c r="P15" i="26" s="1"/>
  <c r="O11" i="26"/>
  <c r="P11" i="26" s="1"/>
  <c r="O14" i="26"/>
  <c r="P14" i="26" s="1"/>
  <c r="C41" i="2"/>
  <c r="C42" i="2"/>
  <c r="D42" i="2" s="1"/>
  <c r="C43" i="2"/>
  <c r="J43" i="2" s="1"/>
  <c r="C45" i="2"/>
  <c r="D45" i="2" s="1"/>
  <c r="C46" i="2"/>
  <c r="D46" i="2" s="1"/>
  <c r="C15" i="55"/>
  <c r="C27" i="55" s="1"/>
  <c r="C50" i="2"/>
  <c r="D50" i="2" s="1"/>
  <c r="C54" i="2"/>
  <c r="D54" i="2" s="1"/>
  <c r="C57" i="2"/>
  <c r="D57" i="2" s="1"/>
  <c r="C58" i="2"/>
  <c r="J58" i="2" s="1"/>
  <c r="C59" i="2"/>
  <c r="D59" i="2" s="1"/>
  <c r="C60" i="2"/>
  <c r="J60" i="2" s="1"/>
  <c r="J12" i="2"/>
  <c r="D12" i="2"/>
  <c r="O7" i="26"/>
  <c r="P7" i="26" s="1"/>
  <c r="O18" i="26"/>
  <c r="P18" i="26" s="1"/>
  <c r="D44" i="2"/>
  <c r="O19" i="26"/>
  <c r="P19" i="26" s="1"/>
  <c r="I64" i="2"/>
  <c r="L61" i="2"/>
  <c r="G9" i="2"/>
  <c r="D32" i="2"/>
  <c r="J10" i="2"/>
  <c r="J27" i="2"/>
  <c r="L52" i="2"/>
  <c r="G12" i="2"/>
  <c r="L12" i="2"/>
  <c r="J14" i="2"/>
  <c r="L18" i="2"/>
  <c r="G16" i="125"/>
  <c r="H44" i="2"/>
  <c r="I38" i="2"/>
  <c r="L37" i="2"/>
  <c r="D16" i="2"/>
  <c r="F13" i="125"/>
  <c r="L16" i="2"/>
  <c r="L40" i="2"/>
  <c r="L56" i="2"/>
  <c r="J32" i="2"/>
  <c r="J41" i="2"/>
  <c r="G20" i="125"/>
  <c r="F20" i="125"/>
  <c r="F9" i="125"/>
  <c r="G22" i="125"/>
  <c r="G21" i="125"/>
  <c r="S11" i="43"/>
  <c r="T11" i="43" s="1"/>
  <c r="S10" i="43"/>
  <c r="T10" i="43" s="1"/>
  <c r="S7" i="43"/>
  <c r="T7" i="43" s="1"/>
  <c r="R7" i="43"/>
  <c r="Q9" i="42"/>
  <c r="S8" i="43"/>
  <c r="T8" i="43" s="1"/>
  <c r="R8" i="43"/>
  <c r="S9" i="43"/>
  <c r="T9" i="43" s="1"/>
  <c r="R9" i="43"/>
  <c r="Q7" i="42"/>
  <c r="F16" i="55"/>
  <c r="F6" i="70"/>
  <c r="Q8" i="42"/>
  <c r="Q10" i="42"/>
  <c r="S10" i="42" l="1"/>
  <c r="E25" i="17"/>
  <c r="E27" i="17" s="1"/>
  <c r="G14" i="3" s="1"/>
  <c r="J54" i="2"/>
  <c r="G49" i="2"/>
  <c r="G8" i="33"/>
  <c r="J36" i="2"/>
  <c r="S7" i="42"/>
  <c r="I10" i="3"/>
  <c r="J59" i="2"/>
  <c r="F15" i="125"/>
  <c r="J13" i="2"/>
  <c r="D58" i="2"/>
  <c r="F22" i="125"/>
  <c r="G21" i="2"/>
  <c r="F7" i="17"/>
  <c r="F59" i="2"/>
  <c r="G59" i="2" s="1"/>
  <c r="H10" i="3"/>
  <c r="J42" i="2"/>
  <c r="F30" i="2"/>
  <c r="E27" i="55"/>
  <c r="F8" i="131"/>
  <c r="F24" i="131" s="1"/>
  <c r="D27" i="55"/>
  <c r="G27" i="55" s="1"/>
  <c r="J29" i="2"/>
  <c r="D29" i="2"/>
  <c r="J50" i="2"/>
  <c r="F25" i="33"/>
  <c r="F27" i="33" s="1"/>
  <c r="E6" i="125" s="1"/>
  <c r="F20" i="2" s="1"/>
  <c r="G27" i="2"/>
  <c r="J46" i="2"/>
  <c r="C49" i="2"/>
  <c r="J49" i="2" s="1"/>
  <c r="J24" i="2"/>
  <c r="F14" i="2"/>
  <c r="G14" i="2" s="1"/>
  <c r="G11" i="2"/>
  <c r="F28" i="70"/>
  <c r="G44" i="2"/>
  <c r="F15" i="2"/>
  <c r="G27" i="3"/>
  <c r="J30" i="2"/>
  <c r="H34" i="2"/>
  <c r="D34" i="2"/>
  <c r="L34" i="2"/>
  <c r="J20" i="2"/>
  <c r="G28" i="2"/>
  <c r="H28" i="2"/>
  <c r="L28" i="2"/>
  <c r="D28" i="2"/>
  <c r="G34" i="2"/>
  <c r="C15" i="2"/>
  <c r="J15" i="2" s="1"/>
  <c r="E27" i="3"/>
  <c r="L49" i="2"/>
  <c r="H49" i="2"/>
  <c r="F39" i="2"/>
  <c r="G41" i="2"/>
  <c r="G39" i="2" s="1"/>
  <c r="G29" i="2"/>
  <c r="H30" i="2"/>
  <c r="D30" i="2"/>
  <c r="L30" i="2"/>
  <c r="J34" i="2"/>
  <c r="J31" i="2"/>
  <c r="D41" i="2"/>
  <c r="L41" i="2"/>
  <c r="H41" i="2"/>
  <c r="E39" i="2"/>
  <c r="G36" i="2"/>
  <c r="D36" i="2"/>
  <c r="L36" i="2"/>
  <c r="H36" i="2"/>
  <c r="E17" i="125"/>
  <c r="E28" i="70"/>
  <c r="G7" i="55"/>
  <c r="F7" i="55"/>
  <c r="J7" i="2"/>
  <c r="G6" i="33"/>
  <c r="G25" i="33" s="1"/>
  <c r="G27" i="33" s="1"/>
  <c r="G30" i="2"/>
  <c r="D43" i="2"/>
  <c r="C53" i="2"/>
  <c r="F16" i="2"/>
  <c r="G16" i="2" s="1"/>
  <c r="E53" i="2"/>
  <c r="F60" i="2"/>
  <c r="G60" i="2" s="1"/>
  <c r="G15" i="55"/>
  <c r="F15" i="55"/>
  <c r="H60" i="2"/>
  <c r="L11" i="2"/>
  <c r="D11" i="2"/>
  <c r="G8" i="2"/>
  <c r="D17" i="2"/>
  <c r="D60" i="2"/>
  <c r="D53" i="2" s="1"/>
  <c r="G7" i="17"/>
  <c r="G54" i="2"/>
  <c r="G53" i="2" s="1"/>
  <c r="F13" i="2"/>
  <c r="G13" i="2" s="1"/>
  <c r="H9" i="3"/>
  <c r="S8" i="42"/>
  <c r="D24" i="131"/>
  <c r="E25" i="33"/>
  <c r="F14" i="125"/>
  <c r="J33" i="2"/>
  <c r="G14" i="125"/>
  <c r="J57" i="2"/>
  <c r="J45" i="2"/>
  <c r="S9" i="42"/>
  <c r="R130" i="43"/>
  <c r="D25" i="2"/>
  <c r="J25" i="2"/>
  <c r="C39" i="2" l="1"/>
  <c r="F53" i="2"/>
  <c r="C6" i="2"/>
  <c r="D49" i="2"/>
  <c r="C62" i="2"/>
  <c r="J62" i="2" s="1"/>
  <c r="D39" i="2"/>
  <c r="J6" i="2"/>
  <c r="H39" i="2"/>
  <c r="L39" i="2"/>
  <c r="E62" i="2"/>
  <c r="L53" i="2"/>
  <c r="H53" i="2"/>
  <c r="F6" i="2"/>
  <c r="G62" i="2"/>
  <c r="D26" i="131"/>
  <c r="G24" i="131"/>
  <c r="E27" i="33"/>
  <c r="H25" i="33"/>
  <c r="J53" i="2"/>
  <c r="F31" i="2"/>
  <c r="D62" i="2"/>
  <c r="F27" i="55"/>
  <c r="J39" i="2" l="1"/>
  <c r="F62" i="2"/>
  <c r="D6" i="125"/>
  <c r="H27" i="33"/>
  <c r="G26" i="131"/>
  <c r="D17" i="125"/>
  <c r="F26" i="131"/>
  <c r="H62" i="2"/>
  <c r="L62" i="2"/>
  <c r="AF43" i="38"/>
  <c r="V147" i="39"/>
  <c r="E20" i="2" l="1"/>
  <c r="G6" i="125"/>
  <c r="F6" i="125"/>
  <c r="E31" i="2"/>
  <c r="G17" i="125"/>
  <c r="F17" i="125"/>
  <c r="D31" i="2" l="1"/>
  <c r="H31" i="2"/>
  <c r="L31" i="2"/>
  <c r="G31" i="2"/>
  <c r="L20" i="2"/>
  <c r="D20" i="2"/>
  <c r="H20" i="2"/>
  <c r="G20" i="2"/>
  <c r="R7" i="41" l="1"/>
  <c r="R12" i="41"/>
  <c r="R24" i="41"/>
  <c r="U24" i="41" s="1"/>
  <c r="R31" i="41"/>
  <c r="U31" i="41" s="1"/>
  <c r="R36" i="41"/>
  <c r="R44" i="41"/>
  <c r="U44" i="41" s="1"/>
  <c r="R47" i="41"/>
  <c r="R48" i="41"/>
  <c r="R51" i="41"/>
  <c r="R52" i="41"/>
  <c r="AI8" i="41"/>
  <c r="AJ8" i="41"/>
  <c r="AH9" i="41"/>
  <c r="AI9" i="41" s="1"/>
  <c r="AJ9" i="41"/>
  <c r="AH10" i="41"/>
  <c r="AI10" i="41" s="1"/>
  <c r="AG10" i="41"/>
  <c r="AJ10" i="41" s="1"/>
  <c r="R11" i="41"/>
  <c r="U11" i="41" s="1"/>
  <c r="AH13" i="41"/>
  <c r="AI13" i="41" s="1"/>
  <c r="AH14" i="41"/>
  <c r="AI14" i="41" s="1"/>
  <c r="AJ14" i="41"/>
  <c r="AI15" i="41"/>
  <c r="AJ15" i="41"/>
  <c r="AH16" i="41"/>
  <c r="AI16" i="41" s="1"/>
  <c r="AG16" i="41"/>
  <c r="AJ16" i="41" s="1"/>
  <c r="AH17" i="41"/>
  <c r="AI17" i="41" s="1"/>
  <c r="AH18" i="41"/>
  <c r="AI18" i="41" s="1"/>
  <c r="AI19" i="41"/>
  <c r="AJ19" i="41"/>
  <c r="AH20" i="41"/>
  <c r="AI20" i="41" s="1"/>
  <c r="AG20" i="41"/>
  <c r="AJ20" i="41" s="1"/>
  <c r="AH21" i="41"/>
  <c r="AI21" i="41" s="1"/>
  <c r="AJ21" i="41"/>
  <c r="AI22" i="41"/>
  <c r="AJ22" i="41"/>
  <c r="AH23" i="41"/>
  <c r="AI23" i="41" s="1"/>
  <c r="AI25" i="41"/>
  <c r="AJ25" i="41"/>
  <c r="AH26" i="41"/>
  <c r="AI26" i="41" s="1"/>
  <c r="AJ26" i="41"/>
  <c r="AI27" i="41"/>
  <c r="AJ27" i="41"/>
  <c r="AH28" i="41"/>
  <c r="AI28" i="41" s="1"/>
  <c r="AG28" i="41"/>
  <c r="AJ28" i="41" s="1"/>
  <c r="AH29" i="41"/>
  <c r="AI29" i="41" s="1"/>
  <c r="AJ29" i="41"/>
  <c r="AH30" i="41"/>
  <c r="AI30" i="41" s="1"/>
  <c r="AG30" i="41"/>
  <c r="AJ30" i="41" s="1"/>
  <c r="AH32" i="41"/>
  <c r="AI32" i="41" s="1"/>
  <c r="AH33" i="41"/>
  <c r="AI33" i="41" s="1"/>
  <c r="AH34" i="41"/>
  <c r="AI34" i="41" s="1"/>
  <c r="AG34" i="41"/>
  <c r="AJ34" i="41" s="1"/>
  <c r="AH35" i="41"/>
  <c r="AI35" i="41" s="1"/>
  <c r="AH37" i="41"/>
  <c r="AI37" i="41" s="1"/>
  <c r="AH38" i="41"/>
  <c r="AI38" i="41" s="1"/>
  <c r="AH39" i="41"/>
  <c r="AI39" i="41" s="1"/>
  <c r="AG39" i="41"/>
  <c r="AJ39" i="41" s="1"/>
  <c r="AJ40" i="41"/>
  <c r="AH41" i="41"/>
  <c r="AI41" i="41" s="1"/>
  <c r="AG41" i="41"/>
  <c r="AJ41" i="41" s="1"/>
  <c r="AH42" i="41"/>
  <c r="AI42" i="41" s="1"/>
  <c r="AH43" i="41"/>
  <c r="AI43" i="41" s="1"/>
  <c r="AJ43" i="41"/>
  <c r="AI45" i="41"/>
  <c r="AJ45" i="41"/>
  <c r="AH46" i="41"/>
  <c r="AI46" i="41" s="1"/>
  <c r="AH49" i="41"/>
  <c r="AI49" i="41" s="1"/>
  <c r="AH50" i="41"/>
  <c r="AI50" i="41" s="1"/>
  <c r="AH53" i="41"/>
  <c r="AI53" i="41" s="1"/>
  <c r="AI54" i="41"/>
  <c r="AJ54" i="41"/>
  <c r="AH55" i="41"/>
  <c r="AI55" i="41" s="1"/>
  <c r="AG55" i="41"/>
  <c r="AJ55" i="41" s="1"/>
  <c r="AO7" i="41"/>
  <c r="S7" i="41" s="1"/>
  <c r="AO8" i="41"/>
  <c r="S8" i="41" s="1"/>
  <c r="AN9" i="41"/>
  <c r="AO9" i="41" s="1"/>
  <c r="AN10" i="41"/>
  <c r="AO10" i="41" s="1"/>
  <c r="AN11" i="41"/>
  <c r="AO11" i="41" s="1"/>
  <c r="AO12" i="41"/>
  <c r="AP12" i="41" s="1"/>
  <c r="S12" i="41" s="1"/>
  <c r="AO13" i="41"/>
  <c r="AP13" i="41" s="1"/>
  <c r="S13" i="41" s="1"/>
  <c r="AO14" i="41"/>
  <c r="S14" i="41" s="1"/>
  <c r="AO15" i="41"/>
  <c r="AP15" i="41" s="1"/>
  <c r="S15" i="41" s="1"/>
  <c r="AN16" i="41"/>
  <c r="AO16" i="41" s="1"/>
  <c r="S16" i="41" s="1"/>
  <c r="AN17" i="41"/>
  <c r="AO17" i="41" s="1"/>
  <c r="S17" i="41" s="1"/>
  <c r="AN18" i="41"/>
  <c r="AO18" i="41" s="1"/>
  <c r="AN19" i="41"/>
  <c r="AO19" i="41" s="1"/>
  <c r="S19" i="41" s="1"/>
  <c r="AN20" i="41"/>
  <c r="AO20" i="41" s="1"/>
  <c r="AN21" i="41"/>
  <c r="AO21" i="41" s="1"/>
  <c r="S21" i="41" s="1"/>
  <c r="AN22" i="41"/>
  <c r="AO22" i="41" s="1"/>
  <c r="AP22" i="41" s="1"/>
  <c r="S22" i="41" s="1"/>
  <c r="AO23" i="41"/>
  <c r="S23" i="41" s="1"/>
  <c r="AN24" i="41"/>
  <c r="AO24" i="41" s="1"/>
  <c r="AN25" i="41"/>
  <c r="AO25" i="41" s="1"/>
  <c r="S25" i="41" s="1"/>
  <c r="AN26" i="41"/>
  <c r="AO26" i="41" s="1"/>
  <c r="S26" i="41" s="1"/>
  <c r="AN27" i="41"/>
  <c r="AO27" i="41" s="1"/>
  <c r="AN28" i="41"/>
  <c r="AO28" i="41" s="1"/>
  <c r="AN29" i="41"/>
  <c r="AO29" i="41" s="1"/>
  <c r="S29" i="41" s="1"/>
  <c r="AN30" i="41"/>
  <c r="AO30" i="41" s="1"/>
  <c r="AN31" i="41"/>
  <c r="AO31" i="41" s="1"/>
  <c r="AN32" i="41"/>
  <c r="AO32" i="41" s="1"/>
  <c r="S32" i="41" s="1"/>
  <c r="AN33" i="41"/>
  <c r="AO33" i="41" s="1"/>
  <c r="S33" i="41" s="1"/>
  <c r="AN34" i="41"/>
  <c r="AO34" i="41" s="1"/>
  <c r="S34" i="41" s="1"/>
  <c r="AO35" i="41"/>
  <c r="AP35" i="41" s="1"/>
  <c r="S35" i="41" s="1"/>
  <c r="AO36" i="41"/>
  <c r="AP36" i="41" s="1"/>
  <c r="S36" i="41" s="1"/>
  <c r="AO37" i="41"/>
  <c r="AP37" i="41" s="1"/>
  <c r="S37" i="41" s="1"/>
  <c r="AO38" i="41"/>
  <c r="AP38" i="41" s="1"/>
  <c r="S38" i="41" s="1"/>
  <c r="AO39" i="41"/>
  <c r="AP39" i="41" s="1"/>
  <c r="S39" i="41" s="1"/>
  <c r="AO40" i="41"/>
  <c r="AP40" i="41" s="1"/>
  <c r="S40" i="41" s="1"/>
  <c r="AO41" i="41"/>
  <c r="AP41" i="41" s="1"/>
  <c r="S41" i="41" s="1"/>
  <c r="AO42" i="41"/>
  <c r="AP42" i="41" s="1"/>
  <c r="S42" i="41" s="1"/>
  <c r="AN43" i="41"/>
  <c r="AO43" i="41" s="1"/>
  <c r="AP43" i="41" s="1"/>
  <c r="S43" i="41" s="1"/>
  <c r="AN44" i="41"/>
  <c r="AO44" i="41" s="1"/>
  <c r="AO45" i="41"/>
  <c r="AP45" i="41" s="1"/>
  <c r="S45" i="41" s="1"/>
  <c r="AN46" i="41"/>
  <c r="AO46" i="41" s="1"/>
  <c r="AO47" i="41"/>
  <c r="AO48" i="41"/>
  <c r="AP48" i="41" s="1"/>
  <c r="S48" i="41" s="1"/>
  <c r="AN49" i="41"/>
  <c r="AO49" i="41" s="1"/>
  <c r="AO50" i="41"/>
  <c r="AP50" i="41" s="1"/>
  <c r="S50" i="41" s="1"/>
  <c r="AO51" i="41"/>
  <c r="S51" i="41" s="1"/>
  <c r="AN52" i="41"/>
  <c r="AO52" i="41" s="1"/>
  <c r="AP52" i="41" s="1"/>
  <c r="S52" i="41" s="1"/>
  <c r="AO53" i="41"/>
  <c r="AP53" i="41" s="1"/>
  <c r="S53" i="41" s="1"/>
  <c r="AO54" i="41"/>
  <c r="S54" i="41" s="1"/>
  <c r="AO55" i="41"/>
  <c r="AP55" i="41" s="1"/>
  <c r="S55" i="41" s="1"/>
  <c r="AP47" i="41" l="1"/>
  <c r="S47" i="41" s="1"/>
  <c r="U47" i="41" s="1"/>
  <c r="V47" i="41" s="1"/>
  <c r="U36" i="41"/>
  <c r="V36" i="41" s="1"/>
  <c r="U7" i="41"/>
  <c r="U51" i="41"/>
  <c r="V51" i="41" s="1"/>
  <c r="U12" i="41"/>
  <c r="V12" i="41" s="1"/>
  <c r="U48" i="41"/>
  <c r="V48" i="41" s="1"/>
  <c r="V44" i="41"/>
  <c r="V11" i="41"/>
  <c r="AK22" i="41"/>
  <c r="R22" i="41" s="1"/>
  <c r="U22" i="41" s="1"/>
  <c r="AK20" i="41"/>
  <c r="R20" i="41" s="1"/>
  <c r="U20" i="41" s="1"/>
  <c r="AK15" i="41"/>
  <c r="R15" i="41" s="1"/>
  <c r="AK9" i="41"/>
  <c r="R9" i="41" s="1"/>
  <c r="U9" i="41" s="1"/>
  <c r="V9" i="41" s="1"/>
  <c r="AK29" i="41"/>
  <c r="R29" i="41" s="1"/>
  <c r="U29" i="41" s="1"/>
  <c r="AK27" i="41"/>
  <c r="R27" i="41" s="1"/>
  <c r="U27" i="41" s="1"/>
  <c r="AK25" i="41"/>
  <c r="R25" i="41" s="1"/>
  <c r="U25" i="41" s="1"/>
  <c r="AK42" i="41"/>
  <c r="R42" i="41" s="1"/>
  <c r="U42" i="41" s="1"/>
  <c r="AK35" i="41"/>
  <c r="R35" i="41" s="1"/>
  <c r="U35" i="41" s="1"/>
  <c r="AK50" i="41"/>
  <c r="R50" i="41" s="1"/>
  <c r="AK23" i="41"/>
  <c r="R23" i="41" s="1"/>
  <c r="U23" i="41" s="1"/>
  <c r="V23" i="41" s="1"/>
  <c r="AK55" i="41"/>
  <c r="R55" i="41" s="1"/>
  <c r="U55" i="41" s="1"/>
  <c r="AK45" i="41"/>
  <c r="R45" i="41" s="1"/>
  <c r="U45" i="41" s="1"/>
  <c r="AK39" i="41"/>
  <c r="R39" i="41" s="1"/>
  <c r="AK21" i="41"/>
  <c r="R21" i="41" s="1"/>
  <c r="U21" i="41" s="1"/>
  <c r="AK19" i="41"/>
  <c r="R19" i="41" s="1"/>
  <c r="U19" i="41" s="1"/>
  <c r="AK16" i="41"/>
  <c r="R16" i="41" s="1"/>
  <c r="U16" i="41" s="1"/>
  <c r="V16" i="41" s="1"/>
  <c r="AK14" i="41"/>
  <c r="R14" i="41" s="1"/>
  <c r="U14" i="41" s="1"/>
  <c r="AK10" i="41"/>
  <c r="R10" i="41" s="1"/>
  <c r="AK8" i="41"/>
  <c r="R8" i="41" s="1"/>
  <c r="AK46" i="41"/>
  <c r="R46" i="41" s="1"/>
  <c r="AK40" i="41"/>
  <c r="R40" i="41" s="1"/>
  <c r="AK37" i="41"/>
  <c r="R37" i="41" s="1"/>
  <c r="AK33" i="41"/>
  <c r="R33" i="41" s="1"/>
  <c r="U33" i="41" s="1"/>
  <c r="V33" i="41" s="1"/>
  <c r="AK17" i="41"/>
  <c r="R17" i="41" s="1"/>
  <c r="U17" i="41" s="1"/>
  <c r="AK54" i="41"/>
  <c r="R54" i="41" s="1"/>
  <c r="AK43" i="41"/>
  <c r="R43" i="41" s="1"/>
  <c r="U43" i="41" s="1"/>
  <c r="AK53" i="41"/>
  <c r="R53" i="41" s="1"/>
  <c r="U53" i="41" s="1"/>
  <c r="AK32" i="41"/>
  <c r="R32" i="41" s="1"/>
  <c r="U32" i="41" s="1"/>
  <c r="AK49" i="41"/>
  <c r="R49" i="41" s="1"/>
  <c r="AK38" i="41"/>
  <c r="R38" i="41" s="1"/>
  <c r="AK18" i="41"/>
  <c r="R18" i="41" s="1"/>
  <c r="U18" i="41" s="1"/>
  <c r="AK13" i="41"/>
  <c r="R13" i="41" s="1"/>
  <c r="AK41" i="41"/>
  <c r="R41" i="41" s="1"/>
  <c r="AK34" i="41"/>
  <c r="R34" i="41" s="1"/>
  <c r="U34" i="41" s="1"/>
  <c r="AK30" i="41"/>
  <c r="R30" i="41" s="1"/>
  <c r="AK28" i="41"/>
  <c r="R28" i="41" s="1"/>
  <c r="U28" i="41" s="1"/>
  <c r="AK26" i="41"/>
  <c r="R26" i="41" s="1"/>
  <c r="U26" i="41" s="1"/>
  <c r="V31" i="41"/>
  <c r="V7" i="41" l="1"/>
  <c r="U52" i="41"/>
  <c r="V52" i="41" s="1"/>
  <c r="V53" i="41"/>
  <c r="V55" i="41"/>
  <c r="V42" i="41"/>
  <c r="U40" i="41"/>
  <c r="V40" i="41" s="1"/>
  <c r="U8" i="41"/>
  <c r="V8" i="41" s="1"/>
  <c r="U38" i="41"/>
  <c r="V38" i="41" s="1"/>
  <c r="U37" i="41"/>
  <c r="V37" i="41" s="1"/>
  <c r="V14" i="41"/>
  <c r="U50" i="41"/>
  <c r="V50" i="41" s="1"/>
  <c r="V45" i="41"/>
  <c r="U13" i="41"/>
  <c r="V13" i="41" s="1"/>
  <c r="U41" i="41"/>
  <c r="V41" i="41" s="1"/>
  <c r="U39" i="41"/>
  <c r="V39" i="41" s="1"/>
  <c r="U15" i="41"/>
  <c r="V15" i="41" s="1"/>
  <c r="U54" i="41"/>
  <c r="V54" i="41" s="1"/>
  <c r="U49" i="41"/>
  <c r="V49" i="41" s="1"/>
  <c r="U10" i="41"/>
  <c r="V10" i="41" s="1"/>
  <c r="U30" i="41"/>
  <c r="V30" i="41" s="1"/>
  <c r="U46" i="41"/>
  <c r="R510" i="41"/>
  <c r="U510" i="41" l="1"/>
  <c r="V510" i="41" s="1"/>
  <c r="V46" i="41"/>
  <c r="L23" i="26" l="1"/>
  <c r="D13" i="17"/>
  <c r="D25" i="17" s="1"/>
  <c r="AB11" i="42"/>
  <c r="AC11" i="42" s="1"/>
  <c r="Q11" i="42" s="1"/>
  <c r="Q8" i="46"/>
  <c r="AF8" i="46"/>
  <c r="AG8" i="46" s="1"/>
  <c r="Q9" i="46"/>
  <c r="AG9" i="46"/>
  <c r="AH9" i="46" s="1"/>
  <c r="R9" i="46" s="1"/>
  <c r="Q11" i="46"/>
  <c r="AF11" i="46"/>
  <c r="AG11" i="46"/>
  <c r="AH11" i="46" s="1"/>
  <c r="R11" i="46" s="1"/>
  <c r="Q13" i="46"/>
  <c r="R13" i="46"/>
  <c r="S13" i="46"/>
  <c r="T13" i="46"/>
  <c r="Q15" i="46"/>
  <c r="AG15" i="46"/>
  <c r="S15" i="46" s="1"/>
  <c r="Q17" i="46"/>
  <c r="AG17" i="46"/>
  <c r="S17" i="46" s="1"/>
  <c r="AG19" i="46"/>
  <c r="AH19" i="46" s="1"/>
  <c r="R19" i="46" s="1"/>
  <c r="G27" i="133"/>
  <c r="E19" i="125"/>
  <c r="P9" i="46"/>
  <c r="U9" i="46" s="1"/>
  <c r="P11" i="46"/>
  <c r="P15" i="46"/>
  <c r="P17" i="46"/>
  <c r="F27" i="133"/>
  <c r="D19" i="125" s="1"/>
  <c r="K27" i="46"/>
  <c r="C7" i="128" s="1"/>
  <c r="C25" i="128" s="1"/>
  <c r="C27" i="128" s="1"/>
  <c r="C12" i="125" s="1"/>
  <c r="Q23" i="26"/>
  <c r="AJ8" i="40"/>
  <c r="AL8" i="40" s="1"/>
  <c r="AJ10" i="40"/>
  <c r="AL10" i="40"/>
  <c r="V15" i="46"/>
  <c r="U15" i="46"/>
  <c r="V17" i="46"/>
  <c r="U17" i="46"/>
  <c r="V11" i="46"/>
  <c r="U11" i="46"/>
  <c r="S8" i="46" l="1"/>
  <c r="AH8" i="46"/>
  <c r="R8" i="46" s="1"/>
  <c r="AH15" i="46"/>
  <c r="R15" i="46" s="1"/>
  <c r="T15" i="46" s="1"/>
  <c r="S19" i="46"/>
  <c r="S9" i="46"/>
  <c r="T19" i="46"/>
  <c r="G19" i="125"/>
  <c r="E33" i="2"/>
  <c r="S11" i="42"/>
  <c r="S19" i="42" s="1"/>
  <c r="Q19" i="42"/>
  <c r="T9" i="46"/>
  <c r="T8" i="46"/>
  <c r="AH17" i="46"/>
  <c r="R17" i="46" s="1"/>
  <c r="T17" i="46" s="1"/>
  <c r="I27" i="133"/>
  <c r="F13" i="17"/>
  <c r="F25" i="17" s="1"/>
  <c r="F27" i="17" s="1"/>
  <c r="F19" i="125"/>
  <c r="S11" i="46"/>
  <c r="T11" i="46" s="1"/>
  <c r="P27" i="46"/>
  <c r="V9" i="46"/>
  <c r="G13" i="17"/>
  <c r="D27" i="17"/>
  <c r="G25" i="17"/>
  <c r="C27" i="125"/>
  <c r="C26" i="2"/>
  <c r="F33" i="2"/>
  <c r="V27" i="46" l="1"/>
  <c r="D7" i="128"/>
  <c r="D33" i="2"/>
  <c r="L33" i="2"/>
  <c r="H33" i="2"/>
  <c r="T27" i="46"/>
  <c r="E7" i="128" s="1"/>
  <c r="G33" i="2"/>
  <c r="J26" i="2"/>
  <c r="C19" i="2"/>
  <c r="G27" i="17"/>
  <c r="F14" i="3"/>
  <c r="D25" i="128" l="1"/>
  <c r="G7" i="128"/>
  <c r="F7" i="128"/>
  <c r="F25" i="128" s="1"/>
  <c r="F27" i="128" s="1"/>
  <c r="E25" i="128"/>
  <c r="E27" i="128" s="1"/>
  <c r="E12" i="125" s="1"/>
  <c r="C38" i="2"/>
  <c r="J19" i="2"/>
  <c r="E11" i="125"/>
  <c r="H14" i="3"/>
  <c r="H27" i="3" s="1"/>
  <c r="F27" i="3"/>
  <c r="I27" i="3" s="1"/>
  <c r="I14" i="3"/>
  <c r="E15" i="2"/>
  <c r="G25" i="128" l="1"/>
  <c r="D27" i="128"/>
  <c r="F26" i="2"/>
  <c r="C64" i="2"/>
  <c r="J64" i="2" s="1"/>
  <c r="J38" i="2"/>
  <c r="H15" i="2"/>
  <c r="E6" i="2"/>
  <c r="G15" i="2"/>
  <c r="G6" i="2" s="1"/>
  <c r="L15" i="2"/>
  <c r="D15" i="2"/>
  <c r="D6" i="2" s="1"/>
  <c r="F25" i="2"/>
  <c r="F11" i="125"/>
  <c r="E27" i="125"/>
  <c r="J4" i="2" l="1"/>
  <c r="D12" i="125"/>
  <c r="G27" i="128"/>
  <c r="H6" i="2"/>
  <c r="L6" i="2"/>
  <c r="F19" i="2"/>
  <c r="G25" i="2"/>
  <c r="G11" i="125"/>
  <c r="G12" i="125" l="1"/>
  <c r="D27" i="125"/>
  <c r="E26" i="2"/>
  <c r="F12" i="125"/>
  <c r="F27" i="125" s="1"/>
  <c r="F38" i="2"/>
  <c r="F64" i="2" s="1"/>
  <c r="H25" i="2"/>
  <c r="L26" i="2" l="1"/>
  <c r="D26" i="2"/>
  <c r="D19" i="2" s="1"/>
  <c r="D38" i="2" s="1"/>
  <c r="D64" i="2" s="1"/>
  <c r="H26" i="2"/>
  <c r="E19" i="2"/>
  <c r="E67" i="2"/>
  <c r="G26" i="2"/>
  <c r="G19" i="2" s="1"/>
  <c r="G38" i="2" s="1"/>
  <c r="G27" i="125"/>
  <c r="H19" i="2" l="1"/>
  <c r="L19" i="2"/>
  <c r="E38" i="2"/>
  <c r="G64" i="2"/>
  <c r="E68" i="2" l="1"/>
  <c r="L38" i="2"/>
  <c r="E64" i="2"/>
  <c r="L64" i="2" s="1"/>
  <c r="H38" i="2"/>
  <c r="H64" i="2" l="1"/>
  <c r="L4" i="2"/>
</calcChain>
</file>

<file path=xl/comments1.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填写现金实物存放单位名称 </t>
        </r>
      </text>
    </comment>
    <comment ref="D6" authorId="0">
      <text>
        <r>
          <rPr>
            <b/>
            <sz val="9"/>
            <color indexed="81"/>
            <rFont val="宋体"/>
            <family val="3"/>
            <charset val="134"/>
          </rPr>
          <t>chenjie:</t>
        </r>
        <r>
          <rPr>
            <sz val="9"/>
            <color indexed="81"/>
            <rFont val="宋体"/>
            <family val="3"/>
            <charset val="134"/>
          </rPr>
          <t xml:space="preserve">
填写原币金额 </t>
        </r>
      </text>
    </comment>
    <comment ref="E6" authorId="0">
      <text>
        <r>
          <rPr>
            <b/>
            <sz val="9"/>
            <color indexed="81"/>
            <rFont val="宋体"/>
            <family val="3"/>
            <charset val="134"/>
          </rPr>
          <t>chenjie:</t>
        </r>
        <r>
          <rPr>
            <sz val="9"/>
            <color indexed="81"/>
            <rFont val="宋体"/>
            <family val="3"/>
            <charset val="134"/>
          </rPr>
          <t xml:space="preserve">
评估基准日汇率为中间价</t>
        </r>
      </text>
    </comment>
  </commentList>
</comments>
</file>

<file path=xl/comments10.xml><?xml version="1.0" encoding="utf-8"?>
<comments xmlns="http://schemas.openxmlformats.org/spreadsheetml/2006/main">
  <authors>
    <author>chenjie</author>
  </authors>
  <commentList>
    <comment ref="Q7" authorId="0">
      <text>
        <r>
          <rPr>
            <b/>
            <sz val="9"/>
            <color indexed="81"/>
            <rFont val="宋体"/>
            <family val="3"/>
            <charset val="134"/>
          </rPr>
          <t>chenjie:</t>
        </r>
        <r>
          <rPr>
            <sz val="9"/>
            <color indexed="81"/>
            <rFont val="宋体"/>
            <family val="3"/>
            <charset val="134"/>
          </rPr>
          <t xml:space="preserve">
(1)注1；(2)负数余额产生的原因。</t>
        </r>
      </text>
    </comment>
  </commentList>
</comments>
</file>

<file path=xl/comments11.xml><?xml version="1.0" encoding="utf-8"?>
<comments xmlns="http://schemas.openxmlformats.org/spreadsheetml/2006/main">
  <authors>
    <author>chenjie</author>
  </authors>
  <commentList>
    <comment ref="Q7" authorId="0">
      <text>
        <r>
          <rPr>
            <b/>
            <sz val="9"/>
            <color indexed="81"/>
            <rFont val="宋体"/>
            <family val="3"/>
            <charset val="134"/>
          </rPr>
          <t>chenjie:</t>
        </r>
        <r>
          <rPr>
            <sz val="9"/>
            <color indexed="81"/>
            <rFont val="宋体"/>
            <family val="3"/>
            <charset val="134"/>
          </rPr>
          <t xml:space="preserve">
(1)注1；(2)负数余额产生的原因。</t>
        </r>
      </text>
    </comment>
  </commentList>
</comments>
</file>

<file path=xl/comments12.xml><?xml version="1.0" encoding="utf-8"?>
<comments xmlns="http://schemas.openxmlformats.org/spreadsheetml/2006/main">
  <authors>
    <author>chenjie</author>
    <author>微软用户</author>
  </authors>
  <commentList>
    <comment ref="Q7" authorId="0">
      <text>
        <r>
          <rPr>
            <b/>
            <sz val="9"/>
            <color indexed="81"/>
            <rFont val="宋体"/>
            <family val="3"/>
            <charset val="134"/>
          </rPr>
          <t>chenjie:</t>
        </r>
        <r>
          <rPr>
            <sz val="9"/>
            <color indexed="81"/>
            <rFont val="宋体"/>
            <family val="3"/>
            <charset val="134"/>
          </rPr>
          <t xml:space="preserve">
(1)注1；(2)负数余额产生的原因。</t>
        </r>
      </text>
    </comment>
    <comment ref="AC13" authorId="1">
      <text>
        <r>
          <rPr>
            <b/>
            <sz val="9"/>
            <color indexed="81"/>
            <rFont val="宋体"/>
            <family val="3"/>
            <charset val="134"/>
          </rPr>
          <t>微软用户</t>
        </r>
        <r>
          <rPr>
            <b/>
            <sz val="9"/>
            <color indexed="81"/>
            <rFont val="Tahoma"/>
            <family val="2"/>
          </rPr>
          <t>:</t>
        </r>
        <r>
          <rPr>
            <sz val="9"/>
            <color indexed="81"/>
            <rFont val="Tahoma"/>
            <family val="2"/>
          </rPr>
          <t xml:space="preserve">
</t>
        </r>
        <r>
          <rPr>
            <sz val="9"/>
            <color indexed="81"/>
            <rFont val="宋体"/>
            <family val="3"/>
            <charset val="134"/>
          </rPr>
          <t>由于</t>
        </r>
        <r>
          <rPr>
            <sz val="9"/>
            <color indexed="81"/>
            <rFont val="Tahoma"/>
            <family val="2"/>
          </rPr>
          <t>2014</t>
        </r>
        <r>
          <rPr>
            <sz val="9"/>
            <color indexed="81"/>
            <rFont val="宋体"/>
            <family val="3"/>
            <charset val="134"/>
          </rPr>
          <t>年办理采矿权延续及采矿权价款处置手续，发生了一定的非经营性费用，采用了经审计的</t>
        </r>
        <r>
          <rPr>
            <sz val="9"/>
            <color indexed="81"/>
            <rFont val="Tahoma"/>
            <family val="2"/>
          </rPr>
          <t>2012</t>
        </r>
        <r>
          <rPr>
            <sz val="9"/>
            <color indexed="81"/>
            <rFont val="宋体"/>
            <family val="3"/>
            <charset val="134"/>
          </rPr>
          <t>、</t>
        </r>
        <r>
          <rPr>
            <sz val="9"/>
            <color indexed="81"/>
            <rFont val="Tahoma"/>
            <family val="2"/>
          </rPr>
          <t>2013</t>
        </r>
        <r>
          <rPr>
            <sz val="9"/>
            <color indexed="81"/>
            <rFont val="宋体"/>
            <family val="3"/>
            <charset val="134"/>
          </rPr>
          <t>年数据</t>
        </r>
      </text>
    </comment>
  </commentList>
</comments>
</file>

<file path=xl/comments13.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填入债券名称如：“3年期国库券”、“5年期电力基金债券”等</t>
        </r>
      </text>
    </comment>
    <comment ref="C6" authorId="0">
      <text>
        <r>
          <rPr>
            <b/>
            <sz val="9"/>
            <color indexed="81"/>
            <rFont val="宋体"/>
            <family val="3"/>
            <charset val="134"/>
          </rPr>
          <t>chenjie:</t>
        </r>
        <r>
          <rPr>
            <sz val="9"/>
            <color indexed="81"/>
            <rFont val="宋体"/>
            <family val="3"/>
            <charset val="134"/>
          </rPr>
          <t xml:space="preserve">
购买日</t>
        </r>
      </text>
    </comment>
    <comment ref="J6" authorId="0">
      <text>
        <r>
          <rPr>
            <b/>
            <sz val="9"/>
            <color indexed="81"/>
            <rFont val="宋体"/>
            <family val="3"/>
            <charset val="134"/>
          </rPr>
          <t>chenjie:</t>
        </r>
        <r>
          <rPr>
            <sz val="9"/>
            <color indexed="81"/>
            <rFont val="宋体"/>
            <family val="3"/>
            <charset val="134"/>
          </rPr>
          <t xml:space="preserve">
设定抵押的债券应标明</t>
        </r>
      </text>
    </comment>
  </commentList>
</comments>
</file>

<file path=xl/comments14.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根据具体资产内容填写</t>
        </r>
      </text>
    </comment>
    <comment ref="J6" authorId="0">
      <text>
        <r>
          <rPr>
            <b/>
            <sz val="9"/>
            <color indexed="81"/>
            <rFont val="宋体"/>
            <family val="3"/>
            <charset val="134"/>
          </rPr>
          <t>chenjie:</t>
        </r>
        <r>
          <rPr>
            <sz val="9"/>
            <color indexed="81"/>
            <rFont val="宋体"/>
            <family val="3"/>
            <charset val="134"/>
          </rPr>
          <t xml:space="preserve">
因特殊原因转入的资产，应在备注栏简要说明原因，有可能发生损失的项目，应提供相关文件资料</t>
        </r>
      </text>
    </comment>
  </commentList>
</comments>
</file>

<file path=xl/comments15.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填列全称</t>
        </r>
      </text>
    </comment>
    <comment ref="C6" authorId="0">
      <text>
        <r>
          <rPr>
            <b/>
            <sz val="9"/>
            <color indexed="81"/>
            <rFont val="宋体"/>
            <family val="3"/>
            <charset val="134"/>
          </rPr>
          <t>chenjie:</t>
        </r>
        <r>
          <rPr>
            <sz val="9"/>
            <color indexed="81"/>
            <rFont val="宋体"/>
            <family val="3"/>
            <charset val="134"/>
          </rPr>
          <t xml:space="preserve">
指国家股、法人股、流通股等</t>
        </r>
      </text>
    </comment>
    <comment ref="D6" authorId="0">
      <text>
        <r>
          <rPr>
            <b/>
            <sz val="9"/>
            <color indexed="81"/>
            <rFont val="宋体"/>
            <family val="3"/>
            <charset val="134"/>
          </rPr>
          <t>chenjie:</t>
        </r>
        <r>
          <rPr>
            <sz val="9"/>
            <color indexed="81"/>
            <rFont val="宋体"/>
            <family val="3"/>
            <charset val="134"/>
          </rPr>
          <t xml:space="preserve">
指购买日或以其他方式（如非货币性交易换入、以债权换入等）取得股权的协议转让日</t>
        </r>
      </text>
    </comment>
    <comment ref="E6" authorId="0">
      <text>
        <r>
          <rPr>
            <b/>
            <sz val="9"/>
            <color indexed="81"/>
            <rFont val="宋体"/>
            <family val="3"/>
            <charset val="134"/>
          </rPr>
          <t>chenjie:</t>
        </r>
        <r>
          <rPr>
            <sz val="9"/>
            <color indexed="81"/>
            <rFont val="宋体"/>
            <family val="3"/>
            <charset val="134"/>
          </rPr>
          <t xml:space="preserve">
与股权证一致</t>
        </r>
      </text>
    </comment>
    <comment ref="F6" authorId="0">
      <text>
        <r>
          <rPr>
            <b/>
            <sz val="9"/>
            <color indexed="81"/>
            <rFont val="宋体"/>
            <family val="3"/>
            <charset val="134"/>
          </rPr>
          <t>chenjie:</t>
        </r>
        <r>
          <rPr>
            <sz val="9"/>
            <color indexed="81"/>
            <rFont val="宋体"/>
            <family val="3"/>
            <charset val="134"/>
          </rPr>
          <t xml:space="preserve">
与股权证一致</t>
        </r>
      </text>
    </comment>
    <comment ref="G6" authorId="0">
      <text>
        <r>
          <rPr>
            <b/>
            <sz val="9"/>
            <color indexed="81"/>
            <rFont val="宋体"/>
            <family val="3"/>
            <charset val="134"/>
          </rPr>
          <t>chenjie:</t>
        </r>
        <r>
          <rPr>
            <sz val="9"/>
            <color indexed="81"/>
            <rFont val="宋体"/>
            <family val="3"/>
            <charset val="134"/>
          </rPr>
          <t xml:space="preserve">
指基准日收盘价</t>
        </r>
      </text>
    </comment>
  </commentList>
</comments>
</file>

<file path=xl/comments16.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填列全称</t>
        </r>
      </text>
    </comment>
    <comment ref="C6" authorId="0">
      <text>
        <r>
          <rPr>
            <b/>
            <sz val="9"/>
            <color indexed="81"/>
            <rFont val="宋体"/>
            <family val="3"/>
            <charset val="134"/>
          </rPr>
          <t>如：XXXXX基金</t>
        </r>
      </text>
    </comment>
    <comment ref="D6" authorId="0">
      <text>
        <r>
          <rPr>
            <b/>
            <sz val="9"/>
            <color indexed="81"/>
            <rFont val="宋体"/>
            <family val="3"/>
            <charset val="134"/>
          </rPr>
          <t>chenjie:</t>
        </r>
        <r>
          <rPr>
            <sz val="9"/>
            <color indexed="81"/>
            <rFont val="宋体"/>
            <family val="3"/>
            <charset val="134"/>
          </rPr>
          <t xml:space="preserve">
指购买日或以其他方式（如非货币性交易换入、以债权换入等）取得股权的协议转让日</t>
        </r>
      </text>
    </comment>
    <comment ref="E6" authorId="0">
      <text>
        <r>
          <rPr>
            <b/>
            <sz val="9"/>
            <color indexed="81"/>
            <rFont val="宋体"/>
            <family val="3"/>
            <charset val="134"/>
          </rPr>
          <t>chenjie:</t>
        </r>
        <r>
          <rPr>
            <sz val="9"/>
            <color indexed="81"/>
            <rFont val="宋体"/>
            <family val="3"/>
            <charset val="134"/>
          </rPr>
          <t xml:space="preserve">
与股权证一致</t>
        </r>
      </text>
    </comment>
    <comment ref="F6" authorId="0">
      <text>
        <r>
          <rPr>
            <b/>
            <sz val="9"/>
            <color indexed="81"/>
            <rFont val="宋体"/>
            <family val="3"/>
            <charset val="134"/>
          </rPr>
          <t>chenjie:</t>
        </r>
        <r>
          <rPr>
            <sz val="9"/>
            <color indexed="81"/>
            <rFont val="宋体"/>
            <family val="3"/>
            <charset val="134"/>
          </rPr>
          <t xml:space="preserve">
指基准日收盘价</t>
        </r>
      </text>
    </comment>
  </commentList>
</comments>
</file>

<file path=xl/comments17.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债务单位名称应填列全称，不应以地名或不明确的简称或业务内容代替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如：“租赁XXXXXX”等</t>
        </r>
      </text>
    </comment>
    <comment ref="D6" authorId="0">
      <text>
        <r>
          <rPr>
            <b/>
            <sz val="9"/>
            <color indexed="81"/>
            <rFont val="宋体"/>
            <family val="3"/>
            <charset val="134"/>
          </rPr>
          <t>chenjie:</t>
        </r>
        <r>
          <rPr>
            <sz val="9"/>
            <color indexed="81"/>
            <rFont val="宋体"/>
            <family val="3"/>
            <charset val="134"/>
          </rPr>
          <t xml:space="preserve">
填列最后一笔借方发生额的日期；
日期填写形式(半角状态下)如：2002-6又如2001-11</t>
        </r>
      </text>
    </comment>
    <comment ref="J6" authorId="0">
      <text>
        <r>
          <rPr>
            <b/>
            <sz val="9"/>
            <color indexed="81"/>
            <rFont val="宋体"/>
            <family val="3"/>
            <charset val="134"/>
          </rPr>
          <t>chenjie:</t>
        </r>
        <r>
          <rPr>
            <sz val="9"/>
            <color indexed="81"/>
            <rFont val="宋体"/>
            <family val="3"/>
            <charset val="134"/>
          </rPr>
          <t xml:space="preserve">
1）欠款单位为关联方、总公司内部或本公司内部单位的，应在备注栏注明“关联方”、“总公司内部”“内部单位”；2） 涉诉款项应在备注中标明；3）评估基准日后已收回款项的，应注明日期如“2002年7月4日收回”；4）其他填表单位认为应说明的事项</t>
        </r>
      </text>
    </comment>
  </commentList>
</comments>
</file>

<file path=xl/comments18.xml><?xml version="1.0" encoding="utf-8"?>
<comments xmlns="http://schemas.openxmlformats.org/spreadsheetml/2006/main">
  <authors>
    <author>chenjie</author>
  </authors>
  <commentList>
    <comment ref="B8" authorId="0">
      <text>
        <r>
          <rPr>
            <b/>
            <sz val="9"/>
            <color indexed="81"/>
            <rFont val="宋体"/>
            <family val="3"/>
            <charset val="134"/>
          </rPr>
          <t>chenjie:</t>
        </r>
        <r>
          <rPr>
            <sz val="9"/>
            <color indexed="81"/>
            <rFont val="宋体"/>
            <family val="3"/>
            <charset val="134"/>
          </rPr>
          <t xml:space="preserve">
填写房产证编号,无证不填</t>
        </r>
      </text>
    </comment>
    <comment ref="F8" authorId="0">
      <text>
        <r>
          <rPr>
            <b/>
            <sz val="9"/>
            <color indexed="81"/>
            <rFont val="宋体"/>
            <family val="3"/>
            <charset val="134"/>
          </rPr>
          <t>chenjie:</t>
        </r>
        <r>
          <rPr>
            <sz val="9"/>
            <color indexed="81"/>
            <rFont val="宋体"/>
            <family val="3"/>
            <charset val="134"/>
          </rPr>
          <t xml:space="preserve">
如：“砖混、钢混、框架、砖木、简易”等，各类型结构的定义参见填表说明。</t>
        </r>
      </text>
    </comment>
    <comment ref="G8" authorId="0">
      <text>
        <r>
          <rPr>
            <b/>
            <sz val="9"/>
            <color indexed="81"/>
            <rFont val="宋体"/>
            <family val="3"/>
            <charset val="134"/>
          </rPr>
          <t>chenjie:</t>
        </r>
        <r>
          <rPr>
            <sz val="9"/>
            <color indexed="81"/>
            <rFont val="宋体"/>
            <family val="3"/>
            <charset val="134"/>
          </rPr>
          <t xml:space="preserve">
指竣工日期</t>
        </r>
      </text>
    </comment>
    <comment ref="H8" authorId="0">
      <text>
        <r>
          <rPr>
            <b/>
            <sz val="9"/>
            <color indexed="81"/>
            <rFont val="宋体"/>
            <family val="3"/>
            <charset val="134"/>
          </rPr>
          <t>chenjie:</t>
        </r>
        <r>
          <rPr>
            <sz val="9"/>
            <color indexed="81"/>
            <rFont val="宋体"/>
            <family val="3"/>
            <charset val="134"/>
          </rPr>
          <t xml:space="preserve">
</t>
        </r>
        <r>
          <rPr>
            <sz val="12"/>
            <color indexed="81"/>
            <rFont val="宋体"/>
            <family val="3"/>
            <charset val="134"/>
          </rPr>
          <t>m</t>
        </r>
        <r>
          <rPr>
            <vertAlign val="superscript"/>
            <sz val="12"/>
            <color indexed="81"/>
            <rFont val="宋体"/>
            <family val="3"/>
            <charset val="134"/>
          </rPr>
          <t>2</t>
        </r>
        <r>
          <rPr>
            <sz val="9"/>
            <color indexed="81"/>
            <rFont val="宋体"/>
            <family val="3"/>
            <charset val="134"/>
          </rPr>
          <t>或</t>
        </r>
        <r>
          <rPr>
            <sz val="12"/>
            <color indexed="81"/>
            <rFont val="宋体"/>
            <family val="3"/>
            <charset val="134"/>
          </rPr>
          <t>m</t>
        </r>
        <r>
          <rPr>
            <vertAlign val="superscript"/>
            <sz val="12"/>
            <color indexed="81"/>
            <rFont val="宋体"/>
            <family val="3"/>
            <charset val="134"/>
          </rPr>
          <t>3</t>
        </r>
      </text>
    </comment>
    <comment ref="I8" authorId="0">
      <text>
        <r>
          <rPr>
            <b/>
            <sz val="9"/>
            <color indexed="81"/>
            <rFont val="宋体"/>
            <family val="3"/>
            <charset val="134"/>
          </rPr>
          <t>chenjie:</t>
        </r>
        <r>
          <rPr>
            <sz val="9"/>
            <color indexed="81"/>
            <rFont val="宋体"/>
            <family val="3"/>
            <charset val="134"/>
          </rPr>
          <t xml:space="preserve">
(1)一般应填写房产证所填写的建筑面积值，如无房屋证，应填写工程概预算书上的面积值，否则就需要重新丈量；(2)对因改扩建已改变了原有建筑面积的，应以基准日实际建筑面积填报，但必须在备注中加以说明。</t>
        </r>
        <r>
          <rPr>
            <b/>
            <sz val="9"/>
            <color indexed="81"/>
            <rFont val="宋体"/>
            <family val="3"/>
            <charset val="134"/>
          </rPr>
          <t>注意：</t>
        </r>
        <r>
          <rPr>
            <sz val="9"/>
            <color indexed="81"/>
            <rFont val="宋体"/>
            <family val="3"/>
            <charset val="134"/>
          </rPr>
          <t>在增加面积的同时，应增加帐面原值及净值，如果增加面积的相应价值未入帐，应同时在备注中注明未入帐部分的建筑面积。</t>
        </r>
      </text>
    </comment>
    <comment ref="V8" authorId="0">
      <text>
        <r>
          <rPr>
            <b/>
            <sz val="9"/>
            <color indexed="81"/>
            <rFont val="宋体"/>
            <family val="3"/>
            <charset val="134"/>
          </rPr>
          <t>chenjie:</t>
        </r>
        <r>
          <rPr>
            <sz val="9"/>
            <color indexed="81"/>
            <rFont val="宋体"/>
            <family val="3"/>
            <charset val="134"/>
          </rPr>
          <t xml:space="preserve">
备注中须说明的事项：(1)对因改扩建已改变了原有建筑面积的；(2)在增加面积的同时，其相应价值未入帐的，注明未入帐部分的建筑面积。(3)盘盈资产及非正常状态下的房屋，如：“危房、已拆除、待报废”等(4)负数余额；(5)房屋管理部门确定为“违章建筑”的。</t>
        </r>
      </text>
    </comment>
  </commentList>
</comments>
</file>

<file path=xl/comments19.xml><?xml version="1.0" encoding="utf-8"?>
<comments xmlns="http://schemas.openxmlformats.org/spreadsheetml/2006/main">
  <authors>
    <author>chenjie</author>
  </authors>
  <commentList>
    <comment ref="B8" authorId="0">
      <text>
        <r>
          <rPr>
            <b/>
            <sz val="9"/>
            <color indexed="81"/>
            <rFont val="宋体"/>
            <family val="3"/>
            <charset val="134"/>
          </rPr>
          <t>chenjie:</t>
        </r>
        <r>
          <rPr>
            <sz val="9"/>
            <color indexed="81"/>
            <rFont val="宋体"/>
            <family val="3"/>
            <charset val="134"/>
          </rPr>
          <t xml:space="preserve">
填写房产证编号,无证不填</t>
        </r>
      </text>
    </comment>
    <comment ref="F8" authorId="0">
      <text>
        <r>
          <rPr>
            <b/>
            <sz val="9"/>
            <color indexed="81"/>
            <rFont val="宋体"/>
            <family val="3"/>
            <charset val="134"/>
          </rPr>
          <t>chenjie:</t>
        </r>
        <r>
          <rPr>
            <sz val="9"/>
            <color indexed="81"/>
            <rFont val="宋体"/>
            <family val="3"/>
            <charset val="134"/>
          </rPr>
          <t xml:space="preserve">
如：“砖混、钢混、框架、砖木、简易”等，各类型结构的定义参见填表说明。</t>
        </r>
      </text>
    </comment>
    <comment ref="G8" authorId="0">
      <text>
        <r>
          <rPr>
            <b/>
            <sz val="9"/>
            <color indexed="81"/>
            <rFont val="宋体"/>
            <family val="3"/>
            <charset val="134"/>
          </rPr>
          <t>chenjie:</t>
        </r>
        <r>
          <rPr>
            <sz val="9"/>
            <color indexed="81"/>
            <rFont val="宋体"/>
            <family val="3"/>
            <charset val="134"/>
          </rPr>
          <t xml:space="preserve">
指竣工日期</t>
        </r>
      </text>
    </comment>
    <comment ref="H8" authorId="0">
      <text>
        <r>
          <rPr>
            <b/>
            <sz val="9"/>
            <color indexed="81"/>
            <rFont val="宋体"/>
            <family val="3"/>
            <charset val="134"/>
          </rPr>
          <t>chenjie:</t>
        </r>
        <r>
          <rPr>
            <sz val="9"/>
            <color indexed="81"/>
            <rFont val="宋体"/>
            <family val="3"/>
            <charset val="134"/>
          </rPr>
          <t xml:space="preserve">
</t>
        </r>
        <r>
          <rPr>
            <sz val="12"/>
            <color indexed="81"/>
            <rFont val="宋体"/>
            <family val="3"/>
            <charset val="134"/>
          </rPr>
          <t>m</t>
        </r>
        <r>
          <rPr>
            <vertAlign val="superscript"/>
            <sz val="12"/>
            <color indexed="81"/>
            <rFont val="宋体"/>
            <family val="3"/>
            <charset val="134"/>
          </rPr>
          <t>2</t>
        </r>
        <r>
          <rPr>
            <sz val="9"/>
            <color indexed="81"/>
            <rFont val="宋体"/>
            <family val="3"/>
            <charset val="134"/>
          </rPr>
          <t>或</t>
        </r>
        <r>
          <rPr>
            <sz val="12"/>
            <color indexed="81"/>
            <rFont val="宋体"/>
            <family val="3"/>
            <charset val="134"/>
          </rPr>
          <t>m</t>
        </r>
        <r>
          <rPr>
            <vertAlign val="superscript"/>
            <sz val="12"/>
            <color indexed="81"/>
            <rFont val="宋体"/>
            <family val="3"/>
            <charset val="134"/>
          </rPr>
          <t>3</t>
        </r>
      </text>
    </comment>
    <comment ref="I8" authorId="0">
      <text>
        <r>
          <rPr>
            <b/>
            <sz val="9"/>
            <color indexed="81"/>
            <rFont val="宋体"/>
            <family val="3"/>
            <charset val="134"/>
          </rPr>
          <t>chenjie:</t>
        </r>
        <r>
          <rPr>
            <sz val="9"/>
            <color indexed="81"/>
            <rFont val="宋体"/>
            <family val="3"/>
            <charset val="134"/>
          </rPr>
          <t xml:space="preserve">
(1)一般应填写房产证所填写的建筑面积值，如无房屋证，应填写工程概预算书上的面积值，否则就需要重新丈量；(2)对因改扩建已改变了原有建筑面积的，应以基准日实际建筑面积填报，但必须在备注中加以说明。</t>
        </r>
        <r>
          <rPr>
            <b/>
            <sz val="9"/>
            <color indexed="81"/>
            <rFont val="宋体"/>
            <family val="3"/>
            <charset val="134"/>
          </rPr>
          <t>注意：</t>
        </r>
        <r>
          <rPr>
            <sz val="9"/>
            <color indexed="81"/>
            <rFont val="宋体"/>
            <family val="3"/>
            <charset val="134"/>
          </rPr>
          <t>在增加面积的同时，应增加帐面原值及净值，如果增加面积的相应价值未入帐，应同时在备注中注明未入帐部分的建筑面积。</t>
        </r>
      </text>
    </comment>
    <comment ref="S8" authorId="0">
      <text>
        <r>
          <rPr>
            <b/>
            <sz val="9"/>
            <color indexed="81"/>
            <rFont val="宋体"/>
            <family val="3"/>
            <charset val="134"/>
          </rPr>
          <t>chenjie:</t>
        </r>
        <r>
          <rPr>
            <sz val="9"/>
            <color indexed="81"/>
            <rFont val="宋体"/>
            <family val="3"/>
            <charset val="134"/>
          </rPr>
          <t xml:space="preserve">
备注中须说明的事项：(1)对因改扩建已改变了原有建筑面积的；(2)在增加面积的同时，其相应价值未入帐的，注明未入帐部分的建筑面积。(3)盘盈资产及非正常状态下的房屋，如：“危房、已拆除、待报废”等(4)负数余额；(5)房屋管理部门确定为“违章建筑”的。</t>
        </r>
      </text>
    </comment>
  </commentList>
</comments>
</file>

<file path=xl/comments2.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填列全称</t>
        </r>
      </text>
    </comment>
    <comment ref="C6" authorId="0">
      <text>
        <r>
          <rPr>
            <b/>
            <sz val="9"/>
            <color indexed="81"/>
            <rFont val="宋体"/>
            <family val="3"/>
            <charset val="134"/>
          </rPr>
          <t>chenjie:</t>
        </r>
        <r>
          <rPr>
            <sz val="9"/>
            <color indexed="81"/>
            <rFont val="宋体"/>
            <family val="3"/>
            <charset val="134"/>
          </rPr>
          <t xml:space="preserve">
如：鞍山信托、民生银行等、天鸿宝业等</t>
        </r>
      </text>
    </comment>
    <comment ref="D6" authorId="0">
      <text>
        <r>
          <rPr>
            <b/>
            <sz val="9"/>
            <color indexed="81"/>
            <rFont val="宋体"/>
            <family val="3"/>
            <charset val="134"/>
          </rPr>
          <t>chenjie:</t>
        </r>
        <r>
          <rPr>
            <sz val="9"/>
            <color indexed="81"/>
            <rFont val="宋体"/>
            <family val="3"/>
            <charset val="134"/>
          </rPr>
          <t xml:space="preserve">
购买日</t>
        </r>
      </text>
    </comment>
  </commentList>
</comments>
</file>

<file path=xl/comments20.xml><?xml version="1.0" encoding="utf-8"?>
<comments xmlns="http://schemas.openxmlformats.org/spreadsheetml/2006/main">
  <authors>
    <author>chenjie</author>
  </authors>
  <commentList>
    <comment ref="B7" authorId="0">
      <text>
        <r>
          <rPr>
            <b/>
            <sz val="9"/>
            <color indexed="81"/>
            <rFont val="宋体"/>
            <family val="3"/>
            <charset val="134"/>
          </rPr>
          <t>chenjie:</t>
        </r>
        <r>
          <rPr>
            <sz val="9"/>
            <color indexed="81"/>
            <rFont val="宋体"/>
            <family val="3"/>
            <charset val="134"/>
          </rPr>
          <t xml:space="preserve">
土地使用权证书的编号</t>
        </r>
      </text>
    </comment>
    <comment ref="E7" authorId="0">
      <text>
        <r>
          <rPr>
            <b/>
            <sz val="9"/>
            <color indexed="81"/>
            <rFont val="宋体"/>
            <family val="3"/>
            <charset val="134"/>
          </rPr>
          <t>chenjie:</t>
        </r>
        <r>
          <rPr>
            <sz val="9"/>
            <color indexed="81"/>
            <rFont val="宋体"/>
            <family val="3"/>
            <charset val="134"/>
          </rPr>
          <t xml:space="preserve">
所填内容应与土地证记录相符</t>
        </r>
      </text>
    </comment>
    <comment ref="F7" authorId="0">
      <text>
        <r>
          <rPr>
            <b/>
            <sz val="9"/>
            <color indexed="81"/>
            <rFont val="宋体"/>
            <family val="3"/>
            <charset val="134"/>
          </rPr>
          <t>chenjie:</t>
        </r>
        <r>
          <rPr>
            <sz val="9"/>
            <color indexed="81"/>
            <rFont val="宋体"/>
            <family val="3"/>
            <charset val="134"/>
          </rPr>
          <t xml:space="preserve">
所填内容应与土地证记录相符</t>
        </r>
      </text>
    </comment>
    <comment ref="G7" authorId="0">
      <text>
        <r>
          <rPr>
            <b/>
            <sz val="9"/>
            <color indexed="81"/>
            <rFont val="宋体"/>
            <family val="3"/>
            <charset val="134"/>
          </rPr>
          <t>chenjie:</t>
        </r>
        <r>
          <rPr>
            <sz val="9"/>
            <color indexed="81"/>
            <rFont val="宋体"/>
            <family val="3"/>
            <charset val="134"/>
          </rPr>
          <t xml:space="preserve">
所填内容应与土地证记录相符</t>
        </r>
      </text>
    </comment>
    <comment ref="I7" authorId="0">
      <text>
        <r>
          <rPr>
            <b/>
            <sz val="9"/>
            <color indexed="81"/>
            <rFont val="宋体"/>
            <family val="3"/>
            <charset val="134"/>
          </rPr>
          <t>chenjie:</t>
        </r>
        <r>
          <rPr>
            <sz val="9"/>
            <color indexed="81"/>
            <rFont val="宋体"/>
            <family val="3"/>
            <charset val="134"/>
          </rPr>
          <t xml:space="preserve">
所填内容应与土地证记录相符</t>
        </r>
      </text>
    </comment>
  </commentList>
</comments>
</file>

<file path=xl/comments21.xml><?xml version="1.0" encoding="utf-8"?>
<comments xmlns="http://schemas.openxmlformats.org/spreadsheetml/2006/main">
  <authors>
    <author>chenjie</author>
  </authors>
  <commentList>
    <comment ref="B7" authorId="0">
      <text>
        <r>
          <rPr>
            <b/>
            <sz val="9"/>
            <color indexed="81"/>
            <rFont val="宋体"/>
            <family val="3"/>
            <charset val="134"/>
          </rPr>
          <t>chenjie:</t>
        </r>
        <r>
          <rPr>
            <sz val="9"/>
            <color indexed="81"/>
            <rFont val="宋体"/>
            <family val="3"/>
            <charset val="134"/>
          </rPr>
          <t xml:space="preserve">
土地使用权证书的编号</t>
        </r>
      </text>
    </comment>
    <comment ref="E7" authorId="0">
      <text>
        <r>
          <rPr>
            <b/>
            <sz val="9"/>
            <color indexed="81"/>
            <rFont val="宋体"/>
            <family val="3"/>
            <charset val="134"/>
          </rPr>
          <t>chenjie:</t>
        </r>
        <r>
          <rPr>
            <sz val="9"/>
            <color indexed="81"/>
            <rFont val="宋体"/>
            <family val="3"/>
            <charset val="134"/>
          </rPr>
          <t xml:space="preserve">
所填内容应与土地证记录相符</t>
        </r>
      </text>
    </comment>
    <comment ref="F7" authorId="0">
      <text>
        <r>
          <rPr>
            <b/>
            <sz val="9"/>
            <color indexed="81"/>
            <rFont val="宋体"/>
            <family val="3"/>
            <charset val="134"/>
          </rPr>
          <t>chenjie:</t>
        </r>
        <r>
          <rPr>
            <sz val="9"/>
            <color indexed="81"/>
            <rFont val="宋体"/>
            <family val="3"/>
            <charset val="134"/>
          </rPr>
          <t xml:space="preserve">
所填内容应与土地证记录相符</t>
        </r>
      </text>
    </comment>
    <comment ref="G7" authorId="0">
      <text>
        <r>
          <rPr>
            <b/>
            <sz val="9"/>
            <color indexed="81"/>
            <rFont val="宋体"/>
            <family val="3"/>
            <charset val="134"/>
          </rPr>
          <t>chenjie:</t>
        </r>
        <r>
          <rPr>
            <sz val="9"/>
            <color indexed="81"/>
            <rFont val="宋体"/>
            <family val="3"/>
            <charset val="134"/>
          </rPr>
          <t xml:space="preserve">
所填内容应与土地证记录相符</t>
        </r>
      </text>
    </comment>
    <comment ref="I7" authorId="0">
      <text>
        <r>
          <rPr>
            <b/>
            <sz val="9"/>
            <color indexed="81"/>
            <rFont val="宋体"/>
            <family val="3"/>
            <charset val="134"/>
          </rPr>
          <t>chenjie:</t>
        </r>
        <r>
          <rPr>
            <sz val="9"/>
            <color indexed="81"/>
            <rFont val="宋体"/>
            <family val="3"/>
            <charset val="134"/>
          </rPr>
          <t xml:space="preserve">
所填内容应与土地证记录相符</t>
        </r>
      </text>
    </comment>
  </commentList>
</comments>
</file>

<file path=xl/comments22.xml><?xml version="1.0" encoding="utf-8"?>
<comments xmlns="http://schemas.openxmlformats.org/spreadsheetml/2006/main">
  <authors>
    <author>chenjie</author>
  </authors>
  <commentList>
    <comment ref="F7" authorId="0">
      <text>
        <r>
          <rPr>
            <b/>
            <sz val="9"/>
            <color indexed="81"/>
            <rFont val="宋体"/>
            <family val="3"/>
            <charset val="134"/>
          </rPr>
          <t>chenjie:</t>
        </r>
        <r>
          <rPr>
            <sz val="9"/>
            <color indexed="81"/>
            <rFont val="宋体"/>
            <family val="3"/>
            <charset val="134"/>
          </rPr>
          <t xml:space="preserve">
指竣工验收日</t>
        </r>
      </text>
    </comment>
    <comment ref="G7" authorId="0">
      <text>
        <r>
          <rPr>
            <b/>
            <sz val="9"/>
            <color indexed="81"/>
            <rFont val="宋体"/>
            <family val="3"/>
            <charset val="134"/>
          </rPr>
          <t>chenjie:</t>
        </r>
        <r>
          <rPr>
            <sz val="9"/>
            <color indexed="81"/>
            <rFont val="宋体"/>
            <family val="3"/>
            <charset val="134"/>
          </rPr>
          <t xml:space="preserve">
座、口（井）、m、个等，详见填表说明</t>
        </r>
      </text>
    </comment>
    <comment ref="K7" authorId="0">
      <text>
        <r>
          <rPr>
            <b/>
            <sz val="9"/>
            <color indexed="81"/>
            <rFont val="宋体"/>
            <family val="3"/>
            <charset val="134"/>
          </rPr>
          <t>chenjie:</t>
        </r>
        <r>
          <rPr>
            <sz val="9"/>
            <color indexed="81"/>
            <rFont val="宋体"/>
            <family val="3"/>
            <charset val="134"/>
          </rPr>
          <t xml:space="preserve">
(1)一般应填写房产证所填写的建筑面积值，如无房屋证，应填写工程概预算书上的面积值，否则就需要重新丈量；(2)对因改扩建已改变了原有建筑面积的，应以基准日实际建筑面积填报，但必须在备注中加以说明。</t>
        </r>
        <r>
          <rPr>
            <b/>
            <sz val="9"/>
            <color indexed="81"/>
            <rFont val="宋体"/>
            <family val="3"/>
            <charset val="134"/>
          </rPr>
          <t>注意：</t>
        </r>
        <r>
          <rPr>
            <sz val="9"/>
            <color indexed="81"/>
            <rFont val="宋体"/>
            <family val="3"/>
            <charset val="134"/>
          </rPr>
          <t>在增加面积的同时，应增加帐面原值及净值，如果增加面积的相应价值未入帐，应同时在备注中注明未入帐部分的建筑面积。</t>
        </r>
      </text>
    </comment>
    <comment ref="X7" authorId="0">
      <text>
        <r>
          <rPr>
            <b/>
            <sz val="9"/>
            <color indexed="81"/>
            <rFont val="宋体"/>
            <family val="3"/>
            <charset val="134"/>
          </rPr>
          <t>chenjie:</t>
        </r>
        <r>
          <rPr>
            <sz val="9"/>
            <color indexed="81"/>
            <rFont val="宋体"/>
            <family val="3"/>
            <charset val="134"/>
          </rPr>
          <t xml:space="preserve">
备注中须说明的事项：(1)对因改扩建已改变了原有建筑面积的；(2)改扩建增加的相应价值未入帐的，注明未入帐部分的建筑面积。(3)盘盈资产及非正常状态下的资产，如：“已拆除、待报废”等(5)负数余额</t>
        </r>
      </text>
    </comment>
  </commentList>
</comments>
</file>

<file path=xl/comments23.xml><?xml version="1.0" encoding="utf-8"?>
<comments xmlns="http://schemas.openxmlformats.org/spreadsheetml/2006/main">
  <authors>
    <author xml:space="preserve"> 66</author>
    <author>chenjie</author>
  </authors>
  <commentList>
    <comment ref="AC5" authorId="0">
      <text>
        <r>
          <rPr>
            <b/>
            <sz val="9"/>
            <color indexed="81"/>
            <rFont val="宋体"/>
            <family val="3"/>
            <charset val="134"/>
          </rPr>
          <t>根据各地情况，区别对待</t>
        </r>
      </text>
    </comment>
    <comment ref="AF5" authorId="0">
      <text>
        <r>
          <rPr>
            <sz val="9"/>
            <color indexed="81"/>
            <rFont val="宋体"/>
            <family val="3"/>
            <charset val="134"/>
          </rPr>
          <t>按1年期贷款利率7.29%考虑</t>
        </r>
      </text>
    </comment>
    <comment ref="C7" authorId="1">
      <text>
        <r>
          <rPr>
            <b/>
            <sz val="9"/>
            <color indexed="81"/>
            <rFont val="宋体"/>
            <family val="3"/>
            <charset val="134"/>
          </rPr>
          <t>chenjie:</t>
        </r>
        <r>
          <rPr>
            <sz val="9"/>
            <color indexed="81"/>
            <rFont val="宋体"/>
            <family val="3"/>
            <charset val="134"/>
          </rPr>
          <t xml:space="preserve">
填写管道和沟槽的全称</t>
        </r>
      </text>
    </comment>
    <comment ref="G7" authorId="1">
      <text>
        <r>
          <rPr>
            <b/>
            <sz val="9"/>
            <color indexed="81"/>
            <rFont val="宋体"/>
            <family val="3"/>
            <charset val="134"/>
          </rPr>
          <t>chenjie:</t>
        </r>
        <r>
          <rPr>
            <sz val="9"/>
            <color indexed="81"/>
            <rFont val="宋体"/>
            <family val="3"/>
            <charset val="134"/>
          </rPr>
          <t xml:space="preserve">
长度、槽深、沟宽*沟厚管径*壁厚、材质、绝缘方式等应按图纸准确填写</t>
        </r>
      </text>
    </comment>
    <comment ref="H7" authorId="1">
      <text>
        <r>
          <rPr>
            <b/>
            <sz val="9"/>
            <color indexed="81"/>
            <rFont val="宋体"/>
            <family val="3"/>
            <charset val="134"/>
          </rPr>
          <t>chenjie:</t>
        </r>
        <r>
          <rPr>
            <sz val="9"/>
            <color indexed="81"/>
            <rFont val="宋体"/>
            <family val="3"/>
            <charset val="134"/>
          </rPr>
          <t xml:space="preserve">
如”砖、砼、钢管、砼管”等</t>
        </r>
      </text>
    </comment>
    <comment ref="J7" authorId="1">
      <text>
        <r>
          <rPr>
            <b/>
            <sz val="9"/>
            <color indexed="81"/>
            <rFont val="宋体"/>
            <family val="3"/>
            <charset val="134"/>
          </rPr>
          <t>chenjie:</t>
        </r>
        <r>
          <rPr>
            <sz val="9"/>
            <color indexed="81"/>
            <rFont val="宋体"/>
            <family val="3"/>
            <charset val="134"/>
          </rPr>
          <t xml:space="preserve">
指竣工日期</t>
        </r>
      </text>
    </comment>
    <comment ref="V7" authorId="1">
      <text>
        <r>
          <rPr>
            <b/>
            <sz val="9"/>
            <color indexed="81"/>
            <rFont val="宋体"/>
            <family val="3"/>
            <charset val="134"/>
          </rPr>
          <t>chenjie:</t>
        </r>
        <r>
          <rPr>
            <sz val="9"/>
            <color indexed="81"/>
            <rFont val="宋体"/>
            <family val="3"/>
            <charset val="134"/>
          </rPr>
          <t xml:space="preserve">
备注中须说明的事项：(1)对因改扩建已改变了原有记录的；(2)改扩建增加的相应价值未入帐的，注明未入帐部分的尺寸规格等。(3)盘盈资产及非正常状态下的资产，如：“已拆除、待报废”等(5)负数余额</t>
        </r>
      </text>
    </comment>
  </commentList>
</comments>
</file>

<file path=xl/comments24.xml><?xml version="1.0" encoding="utf-8"?>
<comments xmlns="http://schemas.openxmlformats.org/spreadsheetml/2006/main">
  <authors>
    <author>微软用户</author>
  </authors>
  <commentList>
    <comment ref="E5" authorId="0">
      <text>
        <r>
          <rPr>
            <b/>
            <sz val="9"/>
            <color indexed="81"/>
            <rFont val="宋体"/>
            <family val="3"/>
            <charset val="134"/>
          </rPr>
          <t>微软用户:</t>
        </r>
        <r>
          <rPr>
            <sz val="9"/>
            <color indexed="81"/>
            <rFont val="宋体"/>
            <family val="3"/>
            <charset val="134"/>
          </rPr>
          <t xml:space="preserve">
斜长即是井筒、巷道、硐室的底距地面的斜长（米）即该等项目服务于那个煤层。</t>
        </r>
      </text>
    </comment>
  </commentList>
</comments>
</file>

<file path=xl/comments25.xml><?xml version="1.0" encoding="utf-8"?>
<comments xmlns="http://schemas.openxmlformats.org/spreadsheetml/2006/main">
  <authors>
    <author>sucheng</author>
    <author>chenjie</author>
  </authors>
  <commentList>
    <comment ref="B7" authorId="0">
      <text>
        <r>
          <rPr>
            <sz val="9"/>
            <rFont val="宋体"/>
            <family val="3"/>
            <charset val="134"/>
          </rPr>
          <t>sucheng:
企业资产管理所使用的编号</t>
        </r>
      </text>
    </comment>
    <comment ref="G7" authorId="1">
      <text>
        <r>
          <rPr>
            <b/>
            <sz val="9"/>
            <color indexed="81"/>
            <rFont val="宋体"/>
            <family val="3"/>
            <charset val="134"/>
          </rPr>
          <t>chenjie:</t>
        </r>
        <r>
          <rPr>
            <sz val="9"/>
            <color indexed="81"/>
            <rFont val="宋体"/>
            <family val="3"/>
            <charset val="134"/>
          </rPr>
          <t xml:space="preserve">
台、件、套、个等</t>
        </r>
      </text>
    </comment>
    <comment ref="I7" authorId="1">
      <text>
        <r>
          <rPr>
            <sz val="9"/>
            <rFont val="宋体"/>
            <family val="3"/>
            <charset val="134"/>
          </rPr>
          <t>chenjie:
设备投入使用的日期   按2012/12/12填</t>
        </r>
      </text>
    </comment>
    <comment ref="J7" authorId="1">
      <text>
        <r>
          <rPr>
            <sz val="9"/>
            <rFont val="宋体"/>
            <family val="3"/>
            <charset val="134"/>
          </rPr>
          <t>chenjie:
设备投入使用的日期   按2012/12/12填</t>
        </r>
      </text>
    </comment>
    <comment ref="W7" authorId="1">
      <text>
        <r>
          <rPr>
            <sz val="9"/>
            <rFont val="宋体"/>
            <family val="3"/>
            <charset val="134"/>
          </rPr>
          <t>chenjie:
应注明的事项：(1)盘盈(2)非正常资产，如“停用、不需用、待报废、淘汰、盘亏”等(3)仪器仪表、电梯、锅炉、压力容器等规定由有关部门定期鉴定的设备应注明“达标”或“未达标”(4)因折旧提超等原因造成负数余额的项目，应简述原因(5)其他</t>
        </r>
      </text>
    </comment>
  </commentList>
</comments>
</file>

<file path=xl/comments26.xml><?xml version="1.0" encoding="utf-8"?>
<comments xmlns="http://schemas.openxmlformats.org/spreadsheetml/2006/main">
  <authors>
    <author>sucheng</author>
    <author>chenjie</author>
  </authors>
  <commentList>
    <comment ref="B7" authorId="0">
      <text>
        <r>
          <rPr>
            <b/>
            <sz val="9"/>
            <color indexed="81"/>
            <rFont val="宋体"/>
            <family val="3"/>
            <charset val="134"/>
          </rPr>
          <t>sucheng:</t>
        </r>
        <r>
          <rPr>
            <sz val="9"/>
            <color indexed="81"/>
            <rFont val="宋体"/>
            <family val="3"/>
            <charset val="134"/>
          </rPr>
          <t xml:space="preserve">
企业资产管理所使用的编号</t>
        </r>
      </text>
    </comment>
    <comment ref="C7" authorId="1">
      <text>
        <r>
          <rPr>
            <b/>
            <sz val="9"/>
            <color indexed="81"/>
            <rFont val="宋体"/>
            <family val="3"/>
            <charset val="134"/>
          </rPr>
          <t>chenjie:</t>
        </r>
        <r>
          <rPr>
            <sz val="9"/>
            <color indexed="81"/>
            <rFont val="宋体"/>
            <family val="3"/>
            <charset val="134"/>
          </rPr>
          <t xml:space="preserve">
设备按单台（套）填列</t>
        </r>
      </text>
    </comment>
    <comment ref="D7" authorId="1">
      <text>
        <r>
          <rPr>
            <b/>
            <sz val="9"/>
            <color indexed="81"/>
            <rFont val="宋体"/>
            <family val="3"/>
            <charset val="134"/>
          </rPr>
          <t>chenjie:</t>
        </r>
        <r>
          <rPr>
            <sz val="9"/>
            <color indexed="81"/>
            <rFont val="宋体"/>
            <family val="3"/>
            <charset val="134"/>
          </rPr>
          <t xml:space="preserve">
按设备铭牌填写</t>
        </r>
      </text>
    </comment>
    <comment ref="F7" authorId="1">
      <text>
        <r>
          <rPr>
            <b/>
            <sz val="9"/>
            <color indexed="81"/>
            <rFont val="宋体"/>
            <family val="3"/>
            <charset val="134"/>
          </rPr>
          <t>chenjie:</t>
        </r>
        <r>
          <rPr>
            <sz val="9"/>
            <color indexed="81"/>
            <rFont val="宋体"/>
            <family val="3"/>
            <charset val="134"/>
          </rPr>
          <t xml:space="preserve">
按设备铭牌填写，不得以地名或经销商名称替代</t>
        </r>
      </text>
    </comment>
    <comment ref="G7" authorId="1">
      <text>
        <r>
          <rPr>
            <b/>
            <sz val="9"/>
            <color indexed="81"/>
            <rFont val="宋体"/>
            <family val="3"/>
            <charset val="134"/>
          </rPr>
          <t>chenjie:</t>
        </r>
        <r>
          <rPr>
            <sz val="9"/>
            <color indexed="81"/>
            <rFont val="宋体"/>
            <family val="3"/>
            <charset val="134"/>
          </rPr>
          <t xml:space="preserve">
台、件、套、个等</t>
        </r>
      </text>
    </comment>
    <comment ref="I7" authorId="1">
      <text>
        <r>
          <rPr>
            <b/>
            <sz val="9"/>
            <color indexed="81"/>
            <rFont val="宋体"/>
            <family val="3"/>
            <charset val="134"/>
          </rPr>
          <t>chenjie:</t>
        </r>
        <r>
          <rPr>
            <sz val="9"/>
            <color indexed="81"/>
            <rFont val="宋体"/>
            <family val="3"/>
            <charset val="134"/>
          </rPr>
          <t xml:space="preserve">
指购买设备日期，如为二手设备须填写原始购置日。日期填写形式(半角状态下)如：2002.6又如2001.11</t>
        </r>
      </text>
    </comment>
    <comment ref="J7" authorId="1">
      <text>
        <r>
          <rPr>
            <b/>
            <sz val="9"/>
            <color indexed="81"/>
            <rFont val="宋体"/>
            <family val="3"/>
            <charset val="134"/>
          </rPr>
          <t>chenjie:</t>
        </r>
        <r>
          <rPr>
            <sz val="9"/>
            <color indexed="81"/>
            <rFont val="宋体"/>
            <family val="3"/>
            <charset val="134"/>
          </rPr>
          <t xml:space="preserve">
设备投入使用的日期
按2012/12/12填</t>
        </r>
      </text>
    </comment>
    <comment ref="V7" authorId="1">
      <text>
        <r>
          <rPr>
            <b/>
            <sz val="9"/>
            <color indexed="81"/>
            <rFont val="宋体"/>
            <family val="3"/>
            <charset val="134"/>
          </rPr>
          <t>chenjie:</t>
        </r>
        <r>
          <rPr>
            <sz val="9"/>
            <color indexed="81"/>
            <rFont val="宋体"/>
            <family val="3"/>
            <charset val="134"/>
          </rPr>
          <t xml:space="preserve">
(1)对停用、不需用、待报废、淘汰、盘亏、盘盈等电子设备应在备注栏标明(2)因折旧提超等原因造成负数余额的项目，应简述原因(3)其他</t>
        </r>
      </text>
    </comment>
  </commentList>
</comments>
</file>

<file path=xl/comments27.xml><?xml version="1.0" encoding="utf-8"?>
<comments xmlns="http://schemas.openxmlformats.org/spreadsheetml/2006/main">
  <authors>
    <author>chenjie</author>
  </authors>
  <commentList>
    <comment ref="B7" authorId="0">
      <text>
        <r>
          <rPr>
            <b/>
            <sz val="9"/>
            <color indexed="81"/>
            <rFont val="宋体"/>
            <family val="3"/>
            <charset val="134"/>
          </rPr>
          <t>chenjie:</t>
        </r>
        <r>
          <rPr>
            <sz val="9"/>
            <color indexed="81"/>
            <rFont val="宋体"/>
            <family val="3"/>
            <charset val="134"/>
          </rPr>
          <t xml:space="preserve">
土地使用权证书的编号</t>
        </r>
      </text>
    </comment>
    <comment ref="D7" authorId="0">
      <text>
        <r>
          <rPr>
            <b/>
            <sz val="9"/>
            <color indexed="81"/>
            <rFont val="宋体"/>
            <family val="3"/>
            <charset val="134"/>
          </rPr>
          <t>chenjie:</t>
        </r>
        <r>
          <rPr>
            <sz val="9"/>
            <color indexed="81"/>
            <rFont val="宋体"/>
            <family val="3"/>
            <charset val="134"/>
          </rPr>
          <t xml:space="preserve">
所填内容应与土地证记录相符</t>
        </r>
      </text>
    </comment>
    <comment ref="E7" authorId="0">
      <text>
        <r>
          <rPr>
            <b/>
            <sz val="9"/>
            <color indexed="81"/>
            <rFont val="宋体"/>
            <family val="3"/>
            <charset val="134"/>
          </rPr>
          <t>chenjie:</t>
        </r>
        <r>
          <rPr>
            <sz val="9"/>
            <color indexed="81"/>
            <rFont val="宋体"/>
            <family val="3"/>
            <charset val="134"/>
          </rPr>
          <t xml:space="preserve">
所填内容应与土地证记录相符</t>
        </r>
      </text>
    </comment>
    <comment ref="F7" authorId="0">
      <text>
        <r>
          <rPr>
            <b/>
            <sz val="9"/>
            <color indexed="81"/>
            <rFont val="宋体"/>
            <family val="3"/>
            <charset val="134"/>
          </rPr>
          <t>chenjie:</t>
        </r>
        <r>
          <rPr>
            <sz val="9"/>
            <color indexed="81"/>
            <rFont val="宋体"/>
            <family val="3"/>
            <charset val="134"/>
          </rPr>
          <t xml:space="preserve">
所填内容应与土地证记录相符</t>
        </r>
      </text>
    </comment>
    <comment ref="G7" authorId="0">
      <text>
        <r>
          <rPr>
            <b/>
            <sz val="9"/>
            <color indexed="81"/>
            <rFont val="宋体"/>
            <family val="3"/>
            <charset val="134"/>
          </rPr>
          <t>chenjie:</t>
        </r>
        <r>
          <rPr>
            <sz val="9"/>
            <color indexed="81"/>
            <rFont val="宋体"/>
            <family val="3"/>
            <charset val="134"/>
          </rPr>
          <t xml:space="preserve">
所填内容应与土地证记录相符</t>
        </r>
      </text>
    </comment>
  </commentList>
</comments>
</file>

<file path=xl/comments28.xml><?xml version="1.0" encoding="utf-8"?>
<comments xmlns="http://schemas.openxmlformats.org/spreadsheetml/2006/main">
  <authors>
    <author>chenjie</author>
  </authors>
  <commentList>
    <comment ref="G6" authorId="0">
      <text>
        <r>
          <rPr>
            <b/>
            <sz val="9"/>
            <color indexed="81"/>
            <rFont val="宋体"/>
            <family val="3"/>
            <charset val="134"/>
          </rPr>
          <t>chenjie:</t>
        </r>
        <r>
          <rPr>
            <sz val="9"/>
            <color indexed="81"/>
            <rFont val="宋体"/>
            <family val="3"/>
            <charset val="134"/>
          </rPr>
          <t xml:space="preserve">
形象进度可以按工程施工进度的四个阶段考虑。（做完前期工程为一个阶段；动工已有一定时间为第二阶段；完成主体工程为第三阶段；由此到竣工为第四阶段。）</t>
        </r>
      </text>
    </comment>
    <comment ref="H6" authorId="0">
      <text>
        <r>
          <rPr>
            <b/>
            <sz val="9"/>
            <color indexed="81"/>
            <rFont val="宋体"/>
            <family val="3"/>
            <charset val="134"/>
          </rPr>
          <t>chenjie:</t>
        </r>
        <r>
          <rPr>
            <sz val="9"/>
            <color indexed="81"/>
            <rFont val="宋体"/>
            <family val="3"/>
            <charset val="134"/>
          </rPr>
          <t xml:space="preserve">
指财务实际付款与合同总价款之比</t>
        </r>
      </text>
    </comment>
    <comment ref="O6" authorId="0">
      <text>
        <r>
          <rPr>
            <b/>
            <sz val="9"/>
            <color indexed="81"/>
            <rFont val="宋体"/>
            <family val="3"/>
            <charset val="134"/>
          </rPr>
          <t>chenjie:</t>
        </r>
        <r>
          <rPr>
            <sz val="9"/>
            <color indexed="81"/>
            <rFont val="宋体"/>
            <family val="3"/>
            <charset val="134"/>
          </rPr>
          <t xml:space="preserve">
处于非正常状态的在建工程项目应在备注栏标注在建工程的施工状况，如：“停建1年、季节性停建”等</t>
        </r>
      </text>
    </comment>
  </commentList>
</comments>
</file>

<file path=xl/comments29.xml><?xml version="1.0" encoding="utf-8"?>
<comments xmlns="http://schemas.openxmlformats.org/spreadsheetml/2006/main">
  <authors>
    <author>chenjie</author>
  </authors>
  <commentList>
    <comment ref="B7" authorId="0">
      <text>
        <r>
          <rPr>
            <b/>
            <sz val="9"/>
            <color indexed="81"/>
            <rFont val="宋体"/>
            <family val="3"/>
            <charset val="134"/>
          </rPr>
          <t>chenjie:</t>
        </r>
        <r>
          <rPr>
            <sz val="9"/>
            <color indexed="81"/>
            <rFont val="宋体"/>
            <family val="3"/>
            <charset val="134"/>
          </rPr>
          <t xml:space="preserve">
请按照工程项目整理填列本表，不应按照财务入账时间顺序填列。</t>
        </r>
      </text>
    </comment>
    <comment ref="W7" authorId="0">
      <text>
        <r>
          <rPr>
            <b/>
            <sz val="9"/>
            <color indexed="81"/>
            <rFont val="宋体"/>
            <family val="3"/>
            <charset val="134"/>
          </rPr>
          <t>chenjie:</t>
        </r>
        <r>
          <rPr>
            <sz val="9"/>
            <color indexed="81"/>
            <rFont val="宋体"/>
            <family val="3"/>
            <charset val="134"/>
          </rPr>
          <t xml:space="preserve">
处于非正常状态的在建工程项目应在备注栏标注在建工程的施工状况，如：“停建1年、季节性停建”等</t>
        </r>
      </text>
    </comment>
  </commentList>
</comments>
</file>

<file path=xl/comments3.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填列全称</t>
        </r>
      </text>
    </comment>
    <comment ref="C6" authorId="0">
      <text>
        <r>
          <rPr>
            <b/>
            <sz val="9"/>
            <color indexed="81"/>
            <rFont val="宋体"/>
            <family val="3"/>
            <charset val="134"/>
          </rPr>
          <t>chenjie:</t>
        </r>
        <r>
          <rPr>
            <sz val="9"/>
            <color indexed="81"/>
            <rFont val="宋体"/>
            <family val="3"/>
            <charset val="134"/>
          </rPr>
          <t xml:space="preserve">
如：国库券、电力债券
    ＊＊公司债券</t>
        </r>
      </text>
    </comment>
  </commentList>
</comments>
</file>

<file path=xl/comments30.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填列转入固定资产实物名称及规格型号，如“报废油罐汽车HQG5吨1辆”、“出售CA6140.2M普通车床1台”等</t>
        </r>
      </text>
    </comment>
    <comment ref="C6" authorId="0">
      <text>
        <r>
          <rPr>
            <b/>
            <sz val="9"/>
            <color indexed="81"/>
            <rFont val="宋体"/>
            <family val="3"/>
            <charset val="134"/>
          </rPr>
          <t>chenjie:</t>
        </r>
        <r>
          <rPr>
            <sz val="9"/>
            <color indexed="81"/>
            <rFont val="宋体"/>
            <family val="3"/>
            <charset val="134"/>
          </rPr>
          <t xml:space="preserve">
发生日期为转入时间</t>
        </r>
      </text>
    </comment>
    <comment ref="J6" authorId="0">
      <text>
        <r>
          <rPr>
            <b/>
            <sz val="9"/>
            <color indexed="81"/>
            <rFont val="宋体"/>
            <family val="3"/>
            <charset val="134"/>
          </rPr>
          <t>chenjie:</t>
        </r>
        <r>
          <rPr>
            <sz val="9"/>
            <color indexed="81"/>
            <rFont val="宋体"/>
            <family val="3"/>
            <charset val="134"/>
          </rPr>
          <t xml:space="preserve">
简要注明基准日资产清理状况（如“已清理完毕”、“清理净损失”、“清理收入”等</t>
        </r>
      </text>
    </comment>
  </commentList>
</comments>
</file>

<file path=xl/comments31.xml><?xml version="1.0" encoding="utf-8"?>
<comments xmlns="http://schemas.openxmlformats.org/spreadsheetml/2006/main">
  <authors>
    <author>chenjie</author>
  </authors>
  <commentList>
    <comment ref="R7" authorId="0">
      <text>
        <r>
          <rPr>
            <b/>
            <sz val="9"/>
            <color indexed="81"/>
            <rFont val="宋体"/>
            <family val="3"/>
            <charset val="134"/>
          </rPr>
          <t>chenjie:</t>
        </r>
        <r>
          <rPr>
            <sz val="9"/>
            <color indexed="81"/>
            <rFont val="宋体"/>
            <family val="3"/>
            <charset val="134"/>
          </rPr>
          <t xml:space="preserve">
应注明的事项：(1)盘盈(2)非正常资产，如“停用、不需用、待报废、淘汰、盘亏”等(3)仪器仪表、电梯、锅炉、压力容器等规定由有关部门定期鉴定的设备应注明“达标”或“未达标”(4)因折旧提超等原因造成负数余额的项目，应简述原因(5)其他</t>
        </r>
      </text>
    </comment>
  </commentList>
</comments>
</file>

<file path=xl/comments32.xml><?xml version="1.0" encoding="utf-8"?>
<comments xmlns="http://schemas.openxmlformats.org/spreadsheetml/2006/main">
  <authors>
    <author>chenjie</author>
  </authors>
  <commentList>
    <comment ref="S7" authorId="0">
      <text>
        <r>
          <rPr>
            <b/>
            <sz val="9"/>
            <color indexed="81"/>
            <rFont val="宋体"/>
            <family val="3"/>
            <charset val="134"/>
          </rPr>
          <t>chenjie:</t>
        </r>
        <r>
          <rPr>
            <sz val="9"/>
            <color indexed="81"/>
            <rFont val="宋体"/>
            <family val="3"/>
            <charset val="134"/>
          </rPr>
          <t xml:space="preserve">
应注明的事项：(1)盘盈(2)非正常资产，如“停用、不需用、待报废、淘汰、盘亏”等(3)仪器仪表、电梯、锅炉、压力容器等规定由有关部门定期鉴定的设备应注明“达标”或“未达标”(4)因折旧提超等原因造成负数余额的项目，应简述原因(5)其他</t>
        </r>
      </text>
    </comment>
  </commentList>
</comments>
</file>

<file path=xl/comments33.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土地使用权证书的编号</t>
        </r>
      </text>
    </comment>
    <comment ref="D6" authorId="0">
      <text>
        <r>
          <rPr>
            <b/>
            <sz val="9"/>
            <color indexed="81"/>
            <rFont val="宋体"/>
            <family val="3"/>
            <charset val="134"/>
          </rPr>
          <t>chenjie:</t>
        </r>
        <r>
          <rPr>
            <sz val="9"/>
            <color indexed="81"/>
            <rFont val="宋体"/>
            <family val="3"/>
            <charset val="134"/>
          </rPr>
          <t xml:space="preserve">
所填内容应与土地证记录相符</t>
        </r>
      </text>
    </comment>
    <comment ref="E6" authorId="0">
      <text>
        <r>
          <rPr>
            <b/>
            <sz val="9"/>
            <color indexed="81"/>
            <rFont val="宋体"/>
            <family val="3"/>
            <charset val="134"/>
          </rPr>
          <t>chenjie:</t>
        </r>
        <r>
          <rPr>
            <sz val="9"/>
            <color indexed="81"/>
            <rFont val="宋体"/>
            <family val="3"/>
            <charset val="134"/>
          </rPr>
          <t xml:space="preserve">
所填内容应与土地证记录相符</t>
        </r>
      </text>
    </comment>
    <comment ref="F6" authorId="0">
      <text>
        <r>
          <rPr>
            <b/>
            <sz val="9"/>
            <color indexed="81"/>
            <rFont val="宋体"/>
            <family val="3"/>
            <charset val="134"/>
          </rPr>
          <t>chenjie:</t>
        </r>
        <r>
          <rPr>
            <sz val="9"/>
            <color indexed="81"/>
            <rFont val="宋体"/>
            <family val="3"/>
            <charset val="134"/>
          </rPr>
          <t xml:space="preserve">
划拨、出让</t>
        </r>
      </text>
    </comment>
    <comment ref="H6" authorId="0">
      <text>
        <r>
          <rPr>
            <b/>
            <sz val="9"/>
            <color indexed="81"/>
            <rFont val="宋体"/>
            <family val="3"/>
            <charset val="134"/>
          </rPr>
          <t>chenjie:</t>
        </r>
        <r>
          <rPr>
            <sz val="9"/>
            <color indexed="81"/>
            <rFont val="宋体"/>
            <family val="3"/>
            <charset val="134"/>
          </rPr>
          <t xml:space="preserve">
所填内容应与土地证记录相符</t>
        </r>
      </text>
    </comment>
  </commentList>
</comments>
</file>

<file path=xl/comments34.xml><?xml version="1.0" encoding="utf-8"?>
<comments xmlns="http://schemas.openxmlformats.org/spreadsheetml/2006/main">
  <authors>
    <author>chenjie</author>
  </authors>
  <commentList>
    <comment ref="C6" authorId="0">
      <text>
        <r>
          <rPr>
            <b/>
            <sz val="9"/>
            <color indexed="81"/>
            <rFont val="宋体"/>
            <family val="3"/>
            <charset val="134"/>
          </rPr>
          <t>chenjie:</t>
        </r>
        <r>
          <rPr>
            <sz val="9"/>
            <color indexed="81"/>
            <rFont val="宋体"/>
            <family val="3"/>
            <charset val="134"/>
          </rPr>
          <t xml:space="preserve">
土地使用权证书的编号</t>
        </r>
      </text>
    </comment>
    <comment ref="E6" authorId="0">
      <text>
        <r>
          <rPr>
            <b/>
            <sz val="9"/>
            <color indexed="81"/>
            <rFont val="宋体"/>
            <family val="3"/>
            <charset val="134"/>
          </rPr>
          <t>chenjie:</t>
        </r>
        <r>
          <rPr>
            <sz val="9"/>
            <color indexed="81"/>
            <rFont val="宋体"/>
            <family val="3"/>
            <charset val="134"/>
          </rPr>
          <t xml:space="preserve">
所填内容应与土地证记录相符</t>
        </r>
      </text>
    </comment>
    <comment ref="F6" authorId="0">
      <text>
        <r>
          <rPr>
            <b/>
            <sz val="9"/>
            <color indexed="81"/>
            <rFont val="宋体"/>
            <family val="3"/>
            <charset val="134"/>
          </rPr>
          <t>chenjie:</t>
        </r>
        <r>
          <rPr>
            <sz val="9"/>
            <color indexed="81"/>
            <rFont val="宋体"/>
            <family val="3"/>
            <charset val="134"/>
          </rPr>
          <t xml:space="preserve">
所填内容应与土地证记录相符</t>
        </r>
      </text>
    </comment>
  </commentList>
</comments>
</file>

<file path=xl/comments35.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如：“</t>
        </r>
        <r>
          <rPr>
            <sz val="9"/>
            <color indexed="81"/>
            <rFont val="Times New Roman"/>
            <family val="1"/>
          </rPr>
          <t>××</t>
        </r>
        <r>
          <rPr>
            <sz val="9"/>
            <color indexed="81"/>
            <rFont val="宋体"/>
            <family val="3"/>
            <charset val="134"/>
          </rPr>
          <t>专利权”、“</t>
        </r>
        <r>
          <rPr>
            <sz val="9"/>
            <color indexed="81"/>
            <rFont val="Times New Roman"/>
            <family val="1"/>
          </rPr>
          <t>××</t>
        </r>
        <r>
          <rPr>
            <sz val="9"/>
            <color indexed="81"/>
            <rFont val="宋体"/>
            <family val="3"/>
            <charset val="134"/>
          </rPr>
          <t>软件”等</t>
        </r>
      </text>
    </comment>
    <comment ref="M6" authorId="0">
      <text>
        <r>
          <rPr>
            <b/>
            <sz val="9"/>
            <color indexed="81"/>
            <rFont val="宋体"/>
            <family val="3"/>
            <charset val="134"/>
          </rPr>
          <t>chenjie:</t>
        </r>
        <r>
          <rPr>
            <sz val="9"/>
            <color indexed="81"/>
            <rFont val="宋体"/>
            <family val="3"/>
            <charset val="134"/>
          </rPr>
          <t xml:space="preserve">
企业实际拥有但基准日未入帐的不应填入本表</t>
        </r>
      </text>
    </comment>
  </commentList>
</comments>
</file>

<file path=xl/comments36.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如：“</t>
        </r>
        <r>
          <rPr>
            <sz val="9"/>
            <color indexed="81"/>
            <rFont val="Times New Roman"/>
            <family val="1"/>
          </rPr>
          <t>××</t>
        </r>
        <r>
          <rPr>
            <sz val="9"/>
            <color indexed="81"/>
            <rFont val="宋体"/>
            <family val="3"/>
            <charset val="134"/>
          </rPr>
          <t>专利权”、“</t>
        </r>
        <r>
          <rPr>
            <sz val="9"/>
            <color indexed="81"/>
            <rFont val="Times New Roman"/>
            <family val="1"/>
          </rPr>
          <t>××</t>
        </r>
        <r>
          <rPr>
            <sz val="9"/>
            <color indexed="81"/>
            <rFont val="宋体"/>
            <family val="3"/>
            <charset val="134"/>
          </rPr>
          <t>软件”等</t>
        </r>
      </text>
    </comment>
    <comment ref="J6" authorId="0">
      <text>
        <r>
          <rPr>
            <b/>
            <sz val="9"/>
            <color indexed="81"/>
            <rFont val="宋体"/>
            <family val="3"/>
            <charset val="134"/>
          </rPr>
          <t>chenjie:</t>
        </r>
        <r>
          <rPr>
            <sz val="9"/>
            <color indexed="81"/>
            <rFont val="宋体"/>
            <family val="3"/>
            <charset val="134"/>
          </rPr>
          <t xml:space="preserve">
企业实际拥有但基准日未入帐的不应填入本表</t>
        </r>
      </text>
    </comment>
  </commentList>
</comments>
</file>

<file path=xl/comments37.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如：“</t>
        </r>
        <r>
          <rPr>
            <sz val="9"/>
            <color indexed="81"/>
            <rFont val="Times New Roman"/>
            <family val="1"/>
          </rPr>
          <t>××</t>
        </r>
        <r>
          <rPr>
            <sz val="9"/>
            <color indexed="81"/>
            <rFont val="宋体"/>
            <family val="3"/>
            <charset val="134"/>
          </rPr>
          <t>专利权”、“</t>
        </r>
        <r>
          <rPr>
            <sz val="9"/>
            <color indexed="81"/>
            <rFont val="Times New Roman"/>
            <family val="1"/>
          </rPr>
          <t>××</t>
        </r>
        <r>
          <rPr>
            <sz val="9"/>
            <color indexed="81"/>
            <rFont val="宋体"/>
            <family val="3"/>
            <charset val="134"/>
          </rPr>
          <t>软件”等</t>
        </r>
      </text>
    </comment>
    <comment ref="J6" authorId="0">
      <text>
        <r>
          <rPr>
            <b/>
            <sz val="9"/>
            <color indexed="81"/>
            <rFont val="宋体"/>
            <family val="3"/>
            <charset val="134"/>
          </rPr>
          <t>chenjie:</t>
        </r>
        <r>
          <rPr>
            <sz val="9"/>
            <color indexed="81"/>
            <rFont val="宋体"/>
            <family val="3"/>
            <charset val="134"/>
          </rPr>
          <t xml:space="preserve">
企业实际拥有但基准日未入帐的不应填入本表</t>
        </r>
      </text>
    </comment>
  </commentList>
</comments>
</file>

<file path=xl/comments38.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指摊销期在1年以上的各种费用。如“</t>
        </r>
        <r>
          <rPr>
            <sz val="9"/>
            <color indexed="81"/>
            <rFont val="Times New Roman"/>
            <family val="1"/>
          </rPr>
          <t>××</t>
        </r>
        <r>
          <rPr>
            <sz val="9"/>
            <color indexed="81"/>
            <rFont val="宋体"/>
            <family val="3"/>
            <charset val="134"/>
          </rPr>
          <t>租入资产改良款”、“</t>
        </r>
        <r>
          <rPr>
            <sz val="9"/>
            <color indexed="81"/>
            <rFont val="Times New Roman"/>
            <family val="1"/>
          </rPr>
          <t>××</t>
        </r>
        <r>
          <rPr>
            <sz val="9"/>
            <color indexed="81"/>
            <rFont val="宋体"/>
            <family val="3"/>
            <charset val="134"/>
          </rPr>
          <t>资产大修费用“等。若填表单位开办费在本科目核算，则除按要求填写本表外，应参照开办费清查评估明细表的要求在备注栏注明费用包括的计提内容和相应金额，或附专项说明亦可。</t>
        </r>
      </text>
    </comment>
    <comment ref="D6" authorId="0">
      <text>
        <r>
          <rPr>
            <b/>
            <sz val="9"/>
            <color indexed="81"/>
            <rFont val="宋体"/>
            <family val="3"/>
            <charset val="134"/>
          </rPr>
          <t>chenjie:</t>
        </r>
        <r>
          <rPr>
            <sz val="9"/>
            <color indexed="81"/>
            <rFont val="宋体"/>
            <family val="3"/>
            <charset val="134"/>
          </rPr>
          <t xml:space="preserve">
指开始摊销前的金额。</t>
        </r>
      </text>
    </comment>
  </commentList>
</comments>
</file>

<file path=xl/comments39.xml><?xml version="1.0" encoding="utf-8"?>
<comments xmlns="http://schemas.openxmlformats.org/spreadsheetml/2006/main">
  <authors>
    <author>chenjie</author>
  </authors>
  <commentList>
    <comment ref="I6" authorId="0">
      <text>
        <r>
          <rPr>
            <b/>
            <sz val="9"/>
            <color indexed="81"/>
            <rFont val="宋体"/>
            <family val="3"/>
            <charset val="134"/>
          </rPr>
          <t>chenjie:</t>
        </r>
        <r>
          <rPr>
            <sz val="9"/>
            <color indexed="81"/>
            <rFont val="宋体"/>
            <family val="3"/>
            <charset val="134"/>
          </rPr>
          <t xml:space="preserve">
金额较大的项目，在备注栏注明其内容或附说明该项资产的内容和价值构成的专项说明。</t>
        </r>
      </text>
    </comment>
  </commentList>
</comments>
</file>

<file path=xl/comments4.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填列全称</t>
        </r>
      </text>
    </comment>
    <comment ref="C6" authorId="0">
      <text>
        <r>
          <rPr>
            <sz val="9"/>
            <color indexed="81"/>
            <rFont val="宋体"/>
            <family val="3"/>
            <charset val="134"/>
          </rPr>
          <t>如：上投摩根内需动力</t>
        </r>
      </text>
    </comment>
    <comment ref="D6" authorId="0">
      <text>
        <r>
          <rPr>
            <b/>
            <sz val="9"/>
            <color indexed="81"/>
            <rFont val="宋体"/>
            <family val="3"/>
            <charset val="134"/>
          </rPr>
          <t>开放式、封闭式等</t>
        </r>
      </text>
    </comment>
    <comment ref="E6" authorId="0">
      <text>
        <r>
          <rPr>
            <b/>
            <sz val="9"/>
            <color indexed="81"/>
            <rFont val="宋体"/>
            <family val="3"/>
            <charset val="134"/>
          </rPr>
          <t>chenjie:</t>
        </r>
        <r>
          <rPr>
            <sz val="9"/>
            <color indexed="81"/>
            <rFont val="宋体"/>
            <family val="3"/>
            <charset val="134"/>
          </rPr>
          <t xml:space="preserve">
购买日</t>
        </r>
      </text>
    </comment>
  </commentList>
</comments>
</file>

<file path=xl/comments40.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填全称</t>
        </r>
      </text>
    </comment>
    <comment ref="C6" authorId="0">
      <text>
        <r>
          <rPr>
            <b/>
            <sz val="9"/>
            <color indexed="81"/>
            <rFont val="宋体"/>
            <family val="3"/>
            <charset val="134"/>
          </rPr>
          <t>chenjie:</t>
        </r>
        <r>
          <rPr>
            <sz val="9"/>
            <color indexed="81"/>
            <rFont val="宋体"/>
            <family val="3"/>
            <charset val="134"/>
          </rPr>
          <t xml:space="preserve">
指借款合同规定的借款启始日，填列到日</t>
        </r>
      </text>
    </comment>
    <comment ref="D6" authorId="0">
      <text>
        <r>
          <rPr>
            <b/>
            <sz val="9"/>
            <color indexed="81"/>
            <rFont val="宋体"/>
            <family val="3"/>
            <charset val="134"/>
          </rPr>
          <t>chenjie:</t>
        </r>
        <r>
          <rPr>
            <sz val="9"/>
            <color indexed="81"/>
            <rFont val="宋体"/>
            <family val="3"/>
            <charset val="134"/>
          </rPr>
          <t xml:space="preserve">
与借款合同规定到期日应一致</t>
        </r>
      </text>
    </comment>
    <comment ref="E6" authorId="0">
      <text>
        <r>
          <rPr>
            <b/>
            <sz val="9"/>
            <color indexed="81"/>
            <rFont val="宋体"/>
            <family val="3"/>
            <charset val="134"/>
          </rPr>
          <t>chenjie:</t>
        </r>
        <r>
          <rPr>
            <sz val="9"/>
            <color indexed="81"/>
            <rFont val="宋体"/>
            <family val="3"/>
            <charset val="134"/>
          </rPr>
          <t xml:space="preserve">
与借款合同规定利率应一致</t>
        </r>
      </text>
    </comment>
    <comment ref="M6" authorId="0">
      <text>
        <r>
          <rPr>
            <b/>
            <sz val="9"/>
            <color indexed="81"/>
            <rFont val="宋体"/>
            <family val="3"/>
            <charset val="134"/>
          </rPr>
          <t>chenjie:</t>
        </r>
        <r>
          <rPr>
            <sz val="9"/>
            <color indexed="81"/>
            <rFont val="宋体"/>
            <family val="3"/>
            <charset val="134"/>
          </rPr>
          <t xml:space="preserve">
标明（或附专项说明）借款的用途、担保条件（信用担保、资产抵押或质押等）、借款利息计提及支付情况（请准确说明利息计提、支付到哪一天）。</t>
        </r>
      </text>
    </comment>
  </commentList>
</comments>
</file>

<file path=xl/comments41.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债权单位名称应填列全称，不应以地名或不明确的简称或业务内容代替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填列最后一笔贷方发生额的日期；
日期填写形式(半角状态下)如：2002.6又如2001.11</t>
        </r>
      </text>
    </comment>
    <comment ref="D6" authorId="0">
      <text>
        <r>
          <rPr>
            <b/>
            <sz val="9"/>
            <color indexed="81"/>
            <rFont val="宋体"/>
            <family val="3"/>
            <charset val="134"/>
          </rPr>
          <t>chenjie:</t>
        </r>
        <r>
          <rPr>
            <sz val="9"/>
            <color indexed="81"/>
            <rFont val="宋体"/>
            <family val="3"/>
            <charset val="134"/>
          </rPr>
          <t xml:space="preserve">
如：“购油款”等</t>
        </r>
      </text>
    </comment>
    <comment ref="I6" authorId="0">
      <text>
        <r>
          <rPr>
            <b/>
            <sz val="9"/>
            <color indexed="81"/>
            <rFont val="宋体"/>
            <family val="3"/>
            <charset val="134"/>
          </rPr>
          <t>chenjie:</t>
        </r>
        <r>
          <rPr>
            <sz val="9"/>
            <color indexed="81"/>
            <rFont val="宋体"/>
            <family val="3"/>
            <charset val="134"/>
          </rPr>
          <t xml:space="preserve">
1）债权单位为关联方、总公司内部或本公司内部单位的，应在备注栏注明“关联方”、“总公司内部”“内部单位”；2） 涉诉款项应在备注中标明；3）评估基准日后已付款的项目，应注明日期。如“2002年7月4日付款”；4）其他填表单位认为应说明的事项</t>
        </r>
      </text>
    </comment>
  </commentList>
</comments>
</file>

<file path=xl/comments42.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债权单位名称应填列全称，不应以地名或不明确的简称或业务内容代替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填列票据的签发日期；
日期填写形式(半角状态下)如：2002.6又如2001.11</t>
        </r>
      </text>
    </comment>
    <comment ref="J6" authorId="0">
      <text>
        <r>
          <rPr>
            <b/>
            <sz val="9"/>
            <color indexed="81"/>
            <rFont val="宋体"/>
            <family val="3"/>
            <charset val="134"/>
          </rPr>
          <t>chenjie:</t>
        </r>
        <r>
          <rPr>
            <sz val="9"/>
            <color indexed="81"/>
            <rFont val="宋体"/>
            <family val="3"/>
            <charset val="134"/>
          </rPr>
          <t xml:space="preserve">
1）债权单位为关联方、总公司内部或本公司内部单位的，应在备注栏注明“关联方”、“总公司内部”“内部单位”；2） 涉诉款项应在备注中标明；3）评估基准日后已付款的项目，应注明日期。如“2002年7月4日付款”；4）已到期尚未支付的，需简要说明原因。</t>
        </r>
      </text>
    </comment>
  </commentList>
</comments>
</file>

<file path=xl/comments43.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债权单位名称应填列全称，不应以地名或不明确的简称或业务内容代替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填列最后一笔贷方发生额的日期；
日期填写形式(半角状态下)如：2002.6又如2001.11</t>
        </r>
      </text>
    </comment>
    <comment ref="D6" authorId="0">
      <text>
        <r>
          <rPr>
            <b/>
            <sz val="9"/>
            <color indexed="81"/>
            <rFont val="宋体"/>
            <family val="3"/>
            <charset val="134"/>
          </rPr>
          <t>chenjie:</t>
        </r>
        <r>
          <rPr>
            <sz val="9"/>
            <color indexed="81"/>
            <rFont val="宋体"/>
            <family val="3"/>
            <charset val="134"/>
          </rPr>
          <t xml:space="preserve">
如：“购油款”等</t>
        </r>
      </text>
    </comment>
    <comment ref="I6" authorId="0">
      <text>
        <r>
          <rPr>
            <b/>
            <sz val="9"/>
            <color indexed="81"/>
            <rFont val="宋体"/>
            <family val="3"/>
            <charset val="134"/>
          </rPr>
          <t>chenjie:</t>
        </r>
        <r>
          <rPr>
            <sz val="9"/>
            <color indexed="81"/>
            <rFont val="宋体"/>
            <family val="3"/>
            <charset val="134"/>
          </rPr>
          <t xml:space="preserve">
1）债权单位为关联方、总公司内部或本公司内部单位的，应在备注栏注明“关联方”、“总公司内部”“内部单位”；2） 涉诉款项应在备注中标明；3）评估基准日后已付款的项目，应注明日期。如“2002年7月4日付款”；4）其他填表单位认为应说明的事项</t>
        </r>
      </text>
    </comment>
  </commentList>
</comments>
</file>

<file path=xl/comments44.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债权单位名称应填列全称，不应以地名或不明确的简称或业务内容代替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填列最后一笔贷方发生额的日期；
日期填写形式(半角状态下)如：2002.6又如2001.11</t>
        </r>
      </text>
    </comment>
    <comment ref="D6" authorId="0">
      <text>
        <r>
          <rPr>
            <b/>
            <sz val="9"/>
            <color indexed="81"/>
            <rFont val="宋体"/>
            <family val="3"/>
            <charset val="134"/>
          </rPr>
          <t>chenjie:</t>
        </r>
        <r>
          <rPr>
            <sz val="9"/>
            <color indexed="81"/>
            <rFont val="宋体"/>
            <family val="3"/>
            <charset val="134"/>
          </rPr>
          <t xml:space="preserve">
如：“售油款”等</t>
        </r>
      </text>
    </comment>
    <comment ref="I6" authorId="0">
      <text>
        <r>
          <rPr>
            <b/>
            <sz val="9"/>
            <color indexed="81"/>
            <rFont val="宋体"/>
            <family val="3"/>
            <charset val="134"/>
          </rPr>
          <t>chenjie:</t>
        </r>
        <r>
          <rPr>
            <sz val="9"/>
            <color indexed="81"/>
            <rFont val="宋体"/>
            <family val="3"/>
            <charset val="134"/>
          </rPr>
          <t xml:space="preserve">
1）债权单位为关联方、总公司内部或本公司内部单位的，应在备注栏注明“关联方”、“总公司内部”“内部单位”；2） 涉诉款项应在备注中标明；3）评估基准日后已付款的项目，应注明日期。如“2002年7月4日付款”；4）其他填表单位认为应说明的事项</t>
        </r>
      </text>
    </comment>
  </commentList>
</comments>
</file>

<file path=xl/comments45.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填写所计提的应付工资的具体组成内容，如“工资、住房补贴”等，根据填表单位财务部门的计提应付工资的方式和内容填写</t>
        </r>
      </text>
    </comment>
    <comment ref="C6" authorId="0">
      <text>
        <r>
          <rPr>
            <b/>
            <sz val="9"/>
            <color indexed="81"/>
            <rFont val="宋体"/>
            <family val="3"/>
            <charset val="134"/>
          </rPr>
          <t>chenjie:</t>
        </r>
        <r>
          <rPr>
            <sz val="9"/>
            <color indexed="81"/>
            <rFont val="宋体"/>
            <family val="3"/>
            <charset val="134"/>
          </rPr>
          <t xml:space="preserve">
填写贷方最后一笔发生额的日期</t>
        </r>
      </text>
    </comment>
    <comment ref="H6" authorId="0">
      <text>
        <r>
          <rPr>
            <b/>
            <sz val="9"/>
            <color indexed="81"/>
            <rFont val="宋体"/>
            <family val="3"/>
            <charset val="134"/>
          </rPr>
          <t>chenjie:</t>
        </r>
        <r>
          <rPr>
            <sz val="9"/>
            <color indexed="81"/>
            <rFont val="宋体"/>
            <family val="3"/>
            <charset val="134"/>
          </rPr>
          <t xml:space="preserve">
备注中应注明计提依据（如：工效挂钩批准额度</t>
        </r>
        <r>
          <rPr>
            <sz val="9"/>
            <color indexed="81"/>
            <rFont val="Times New Roman"/>
            <family val="1"/>
          </rPr>
          <t>×××</t>
        </r>
        <r>
          <rPr>
            <sz val="9"/>
            <color indexed="81"/>
            <rFont val="宋体"/>
            <family val="3"/>
            <charset val="134"/>
          </rPr>
          <t>万元／年）及基准日应付工资帐面余额的滚存期间。</t>
        </r>
      </text>
    </comment>
  </commentList>
</comments>
</file>

<file path=xl/comments46.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填表单位的专管税务机关，应填写全称</t>
        </r>
      </text>
    </comment>
    <comment ref="C6" authorId="0">
      <text>
        <r>
          <rPr>
            <b/>
            <sz val="9"/>
            <color indexed="81"/>
            <rFont val="宋体"/>
            <family val="3"/>
            <charset val="134"/>
          </rPr>
          <t>chenjie:</t>
        </r>
        <r>
          <rPr>
            <sz val="9"/>
            <color indexed="81"/>
            <rFont val="宋体"/>
            <family val="3"/>
            <charset val="134"/>
          </rPr>
          <t xml:space="preserve">
填写贷方最后一笔发生额的日期</t>
        </r>
      </text>
    </comment>
    <comment ref="D6" authorId="0">
      <text>
        <r>
          <rPr>
            <b/>
            <sz val="9"/>
            <color indexed="81"/>
            <rFont val="宋体"/>
            <family val="3"/>
            <charset val="134"/>
          </rPr>
          <t>chenjie:</t>
        </r>
        <r>
          <rPr>
            <sz val="9"/>
            <color indexed="81"/>
            <rFont val="宋体"/>
            <family val="3"/>
            <charset val="134"/>
          </rPr>
          <t xml:space="preserve">
指增值税、消费税、城建税、教育费附加等</t>
        </r>
      </text>
    </comment>
    <comment ref="I6" authorId="0">
      <text>
        <r>
          <rPr>
            <b/>
            <sz val="9"/>
            <color indexed="81"/>
            <rFont val="宋体"/>
            <family val="3"/>
            <charset val="134"/>
          </rPr>
          <t>chenjie:</t>
        </r>
        <r>
          <rPr>
            <sz val="9"/>
            <color indexed="81"/>
            <rFont val="宋体"/>
            <family val="3"/>
            <charset val="134"/>
          </rPr>
          <t xml:space="preserve">
备注中应注明税款所属期间。</t>
        </r>
      </text>
    </comment>
  </commentList>
</comments>
</file>

<file path=xl/comments47.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填全称</t>
        </r>
      </text>
    </comment>
    <comment ref="C6" authorId="0">
      <text>
        <r>
          <rPr>
            <b/>
            <sz val="9"/>
            <color indexed="81"/>
            <rFont val="宋体"/>
            <family val="3"/>
            <charset val="134"/>
          </rPr>
          <t>chenjie:</t>
        </r>
        <r>
          <rPr>
            <sz val="9"/>
            <color indexed="81"/>
            <rFont val="宋体"/>
            <family val="3"/>
            <charset val="134"/>
          </rPr>
          <t xml:space="preserve">
发生日期指利息结算日，填列到日。</t>
        </r>
      </text>
    </comment>
    <comment ref="E6" authorId="0">
      <text>
        <r>
          <rPr>
            <b/>
            <sz val="9"/>
            <color indexed="81"/>
            <rFont val="宋体"/>
            <family val="3"/>
            <charset val="134"/>
          </rPr>
          <t>chenjie:</t>
        </r>
        <r>
          <rPr>
            <sz val="9"/>
            <color indexed="81"/>
            <rFont val="宋体"/>
            <family val="3"/>
            <charset val="134"/>
          </rPr>
          <t xml:space="preserve">
填列到“日”，如“2001.6.1—2001.12.30”。</t>
        </r>
      </text>
    </comment>
  </commentList>
</comments>
</file>

<file path=xl/comments48.xml><?xml version="1.0" encoding="utf-8"?>
<comments xmlns="http://schemas.openxmlformats.org/spreadsheetml/2006/main">
  <authors>
    <author>chenjie</author>
  </authors>
  <commentList>
    <comment ref="I6" authorId="0">
      <text>
        <r>
          <rPr>
            <b/>
            <sz val="9"/>
            <color indexed="81"/>
            <rFont val="宋体"/>
            <family val="3"/>
            <charset val="134"/>
          </rPr>
          <t>chenjie:</t>
        </r>
        <r>
          <rPr>
            <sz val="9"/>
            <color indexed="81"/>
            <rFont val="宋体"/>
            <family val="3"/>
            <charset val="134"/>
          </rPr>
          <t xml:space="preserve">
对于长期未付的利润（股利），请在备注栏标明原因</t>
        </r>
      </text>
    </comment>
  </commentList>
</comments>
</file>

<file path=xl/comments49.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债权单位名称应填列全称，不应以地名或不明确的简称或业务内容代替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填列最后一笔贷方发生额的日期；
日期填写形式(半角状态下)如：2002.6又如2001.11</t>
        </r>
      </text>
    </comment>
    <comment ref="D6" authorId="0">
      <text>
        <r>
          <rPr>
            <b/>
            <sz val="9"/>
            <color indexed="81"/>
            <rFont val="宋体"/>
            <family val="3"/>
            <charset val="134"/>
          </rPr>
          <t>chenjie:</t>
        </r>
        <r>
          <rPr>
            <sz val="9"/>
            <color indexed="81"/>
            <rFont val="宋体"/>
            <family val="3"/>
            <charset val="134"/>
          </rPr>
          <t xml:space="preserve">
如：“往来款、职工教育经费、工会经费”等</t>
        </r>
      </text>
    </comment>
    <comment ref="I6" authorId="0">
      <text>
        <r>
          <rPr>
            <b/>
            <sz val="9"/>
            <color indexed="81"/>
            <rFont val="宋体"/>
            <family val="3"/>
            <charset val="134"/>
          </rPr>
          <t>chenjie:</t>
        </r>
        <r>
          <rPr>
            <sz val="9"/>
            <color indexed="81"/>
            <rFont val="宋体"/>
            <family val="3"/>
            <charset val="134"/>
          </rPr>
          <t xml:space="preserve">
1）债权单位为关联方、总公司内部或本公司内部单位的，应在备注栏注明“关联方”、“总公司内部”“内部单位”；2） 涉诉款项应在备注中标明；3）评估基准日后已付款的项目，应注明日期。如“2002年7月4日付款”；4）其他填表单位认为应说明的事项</t>
        </r>
      </text>
    </comment>
  </commentList>
</comments>
</file>

<file path=xl/comments5.xml><?xml version="1.0" encoding="utf-8"?>
<comments xmlns="http://schemas.openxmlformats.org/spreadsheetml/2006/main">
  <authors>
    <author>chenjie</author>
    <author>seaman</author>
  </authors>
  <commentList>
    <comment ref="B6" authorId="0">
      <text>
        <r>
          <rPr>
            <b/>
            <sz val="9"/>
            <color indexed="81"/>
            <rFont val="宋体"/>
            <family val="3"/>
            <charset val="134"/>
          </rPr>
          <t>chenjie:</t>
        </r>
        <r>
          <rPr>
            <sz val="9"/>
            <color indexed="81"/>
            <rFont val="宋体"/>
            <family val="3"/>
            <charset val="134"/>
          </rPr>
          <t xml:space="preserve">
债务单位名称应填列全称，不应以地名或不明确的简称或业务内容代替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如：“售油款”等</t>
        </r>
      </text>
    </comment>
    <comment ref="D6" authorId="0">
      <text>
        <r>
          <rPr>
            <b/>
            <sz val="9"/>
            <color indexed="81"/>
            <rFont val="宋体"/>
            <family val="3"/>
            <charset val="134"/>
          </rPr>
          <t>chenjie:</t>
        </r>
        <r>
          <rPr>
            <sz val="9"/>
            <color indexed="81"/>
            <rFont val="宋体"/>
            <family val="3"/>
            <charset val="134"/>
          </rPr>
          <t xml:space="preserve">
填列最后一笔借方发生额的日期；
日期填写形式(半角状态下)如：2002-6又如2001-11</t>
        </r>
      </text>
    </comment>
    <comment ref="E6" authorId="1">
      <text>
        <r>
          <rPr>
            <sz val="9"/>
            <color indexed="81"/>
            <rFont val="Times New Roman"/>
            <family val="1"/>
          </rPr>
          <t>1</t>
        </r>
        <r>
          <rPr>
            <sz val="9"/>
            <color indexed="81"/>
            <rFont val="宋体"/>
            <family val="3"/>
            <charset val="134"/>
          </rPr>
          <t>年以内</t>
        </r>
        <r>
          <rPr>
            <sz val="9"/>
            <color indexed="81"/>
            <rFont val="Times New Roman"/>
            <family val="1"/>
          </rPr>
          <t xml:space="preserve">
1~2</t>
        </r>
        <r>
          <rPr>
            <sz val="9"/>
            <color indexed="81"/>
            <rFont val="宋体"/>
            <family val="3"/>
            <charset val="134"/>
          </rPr>
          <t>年</t>
        </r>
        <r>
          <rPr>
            <sz val="9"/>
            <color indexed="81"/>
            <rFont val="Times New Roman"/>
            <family val="1"/>
          </rPr>
          <t xml:space="preserve">
2~3</t>
        </r>
        <r>
          <rPr>
            <sz val="9"/>
            <color indexed="81"/>
            <rFont val="宋体"/>
            <family val="3"/>
            <charset val="134"/>
          </rPr>
          <t>年</t>
        </r>
        <r>
          <rPr>
            <sz val="9"/>
            <color indexed="81"/>
            <rFont val="Times New Roman"/>
            <family val="1"/>
          </rPr>
          <t xml:space="preserve">
3~4</t>
        </r>
        <r>
          <rPr>
            <sz val="9"/>
            <color indexed="81"/>
            <rFont val="宋体"/>
            <family val="3"/>
            <charset val="134"/>
          </rPr>
          <t>年</t>
        </r>
        <r>
          <rPr>
            <sz val="9"/>
            <color indexed="81"/>
            <rFont val="Times New Roman"/>
            <family val="1"/>
          </rPr>
          <t xml:space="preserve">
4~5</t>
        </r>
        <r>
          <rPr>
            <sz val="9"/>
            <color indexed="81"/>
            <rFont val="宋体"/>
            <family val="3"/>
            <charset val="134"/>
          </rPr>
          <t>年</t>
        </r>
        <r>
          <rPr>
            <sz val="9"/>
            <color indexed="81"/>
            <rFont val="Times New Roman"/>
            <family val="1"/>
          </rPr>
          <t xml:space="preserve">
5</t>
        </r>
        <r>
          <rPr>
            <sz val="9"/>
            <color indexed="81"/>
            <rFont val="宋体"/>
            <family val="3"/>
            <charset val="134"/>
          </rPr>
          <t>年以上</t>
        </r>
      </text>
    </comment>
    <comment ref="S6" authorId="0">
      <text>
        <r>
          <rPr>
            <b/>
            <sz val="9"/>
            <color indexed="81"/>
            <rFont val="宋体"/>
            <family val="3"/>
            <charset val="134"/>
          </rPr>
          <t>chenjie:</t>
        </r>
        <r>
          <rPr>
            <sz val="9"/>
            <color indexed="81"/>
            <rFont val="宋体"/>
            <family val="3"/>
            <charset val="134"/>
          </rPr>
          <t xml:space="preserve">
1）欠款单位为关联方、总公司内部或本公司内部单位的，应在备注栏注明“关联方”、“总公司内部”“内部单位”；2） 涉诉款项应在备注中标明；3）评估基准日后已收回款项的，应注明日期如“2002年7月4日收回”；4）其他填表单位认为应说明的事项</t>
        </r>
      </text>
    </comment>
  </commentList>
</comments>
</file>

<file path=xl/comments50.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参见长期借款表</t>
        </r>
      </text>
    </comment>
  </commentList>
</comments>
</file>

<file path=xl/comments51.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填全称</t>
        </r>
      </text>
    </comment>
    <comment ref="C6" authorId="0">
      <text>
        <r>
          <rPr>
            <b/>
            <sz val="9"/>
            <color indexed="81"/>
            <rFont val="宋体"/>
            <family val="3"/>
            <charset val="134"/>
          </rPr>
          <t>chenjie:</t>
        </r>
        <r>
          <rPr>
            <sz val="9"/>
            <color indexed="81"/>
            <rFont val="宋体"/>
            <family val="3"/>
            <charset val="134"/>
          </rPr>
          <t xml:space="preserve">
指借款合同规定的借款启始日，填列到日</t>
        </r>
      </text>
    </comment>
    <comment ref="D6" authorId="0">
      <text>
        <r>
          <rPr>
            <b/>
            <sz val="9"/>
            <color indexed="81"/>
            <rFont val="宋体"/>
            <family val="3"/>
            <charset val="134"/>
          </rPr>
          <t>chenjie:</t>
        </r>
        <r>
          <rPr>
            <sz val="9"/>
            <color indexed="81"/>
            <rFont val="宋体"/>
            <family val="3"/>
            <charset val="134"/>
          </rPr>
          <t xml:space="preserve">
与借款合同规定到期日应一致</t>
        </r>
      </text>
    </comment>
    <comment ref="E6" authorId="0">
      <text>
        <r>
          <rPr>
            <b/>
            <sz val="9"/>
            <color indexed="81"/>
            <rFont val="宋体"/>
            <family val="3"/>
            <charset val="134"/>
          </rPr>
          <t>chenjie:</t>
        </r>
        <r>
          <rPr>
            <sz val="9"/>
            <color indexed="81"/>
            <rFont val="宋体"/>
            <family val="3"/>
            <charset val="134"/>
          </rPr>
          <t xml:space="preserve">
与借款合同规定利率应一致</t>
        </r>
      </text>
    </comment>
    <comment ref="M6" authorId="0">
      <text>
        <r>
          <rPr>
            <b/>
            <sz val="9"/>
            <color indexed="81"/>
            <rFont val="宋体"/>
            <family val="3"/>
            <charset val="134"/>
          </rPr>
          <t>chenjie:</t>
        </r>
        <r>
          <rPr>
            <sz val="9"/>
            <color indexed="81"/>
            <rFont val="宋体"/>
            <family val="3"/>
            <charset val="134"/>
          </rPr>
          <t xml:space="preserve">
标明（或附专项说明）借款的用途、担保条件（信用担保、资产抵押或质押等）、借款利息计提及支付情况（请准确说明利息计提、支付到哪一天）。</t>
        </r>
      </text>
    </comment>
  </commentList>
</comments>
</file>

<file path=xl/comments52.xml><?xml version="1.0" encoding="utf-8"?>
<comments xmlns="http://schemas.openxmlformats.org/spreadsheetml/2006/main">
  <authors>
    <author>chenjie</author>
  </authors>
  <commentList>
    <comment ref="B7" authorId="0">
      <text>
        <r>
          <rPr>
            <b/>
            <sz val="9"/>
            <color indexed="81"/>
            <rFont val="宋体"/>
            <family val="3"/>
            <charset val="134"/>
          </rPr>
          <t>chenjie:</t>
        </r>
        <r>
          <rPr>
            <sz val="9"/>
            <color indexed="81"/>
            <rFont val="宋体"/>
            <family val="3"/>
            <charset val="134"/>
          </rPr>
          <t xml:space="preserve">
填列债权单位全称</t>
        </r>
      </text>
    </comment>
    <comment ref="C7" authorId="0">
      <text>
        <r>
          <rPr>
            <b/>
            <sz val="9"/>
            <color indexed="81"/>
            <rFont val="宋体"/>
            <family val="3"/>
            <charset val="134"/>
          </rPr>
          <t>chenjie:</t>
        </r>
        <r>
          <rPr>
            <sz val="9"/>
            <color indexed="81"/>
            <rFont val="宋体"/>
            <family val="3"/>
            <charset val="134"/>
          </rPr>
          <t xml:space="preserve">
按合同协议确定的开始计算应付款的日期，填列到日。</t>
        </r>
      </text>
    </comment>
    <comment ref="D7" authorId="0">
      <text>
        <r>
          <rPr>
            <b/>
            <sz val="9"/>
            <color indexed="81"/>
            <rFont val="宋体"/>
            <family val="3"/>
            <charset val="134"/>
          </rPr>
          <t>chenjie:</t>
        </r>
        <r>
          <rPr>
            <sz val="9"/>
            <color indexed="81"/>
            <rFont val="宋体"/>
            <family val="3"/>
            <charset val="134"/>
          </rPr>
          <t xml:space="preserve">
指应付款内容，如“引进</t>
        </r>
        <r>
          <rPr>
            <sz val="9"/>
            <color indexed="81"/>
            <rFont val="Times New Roman"/>
            <family val="1"/>
          </rPr>
          <t>××</t>
        </r>
        <r>
          <rPr>
            <sz val="9"/>
            <color indexed="81"/>
            <rFont val="宋体"/>
            <family val="3"/>
            <charset val="134"/>
          </rPr>
          <t>设备款或融资租赁</t>
        </r>
        <r>
          <rPr>
            <sz val="9"/>
            <color indexed="81"/>
            <rFont val="Times New Roman"/>
            <family val="1"/>
          </rPr>
          <t>××</t>
        </r>
        <r>
          <rPr>
            <sz val="9"/>
            <color indexed="81"/>
            <rFont val="宋体"/>
            <family val="3"/>
            <charset val="134"/>
          </rPr>
          <t>设备款”等；</t>
        </r>
      </text>
    </comment>
    <comment ref="M7" authorId="0">
      <text>
        <r>
          <rPr>
            <b/>
            <sz val="9"/>
            <color indexed="81"/>
            <rFont val="宋体"/>
            <family val="3"/>
            <charset val="134"/>
          </rPr>
          <t>chenjie:</t>
        </r>
        <r>
          <rPr>
            <sz val="9"/>
            <color indexed="81"/>
            <rFont val="宋体"/>
            <family val="3"/>
            <charset val="134"/>
          </rPr>
          <t xml:space="preserve">
请注明帐面初始额的构成。</t>
        </r>
      </text>
    </comment>
  </commentList>
</comments>
</file>

<file path=xl/comments6.xml><?xml version="1.0" encoding="utf-8"?>
<comments xmlns="http://schemas.openxmlformats.org/spreadsheetml/2006/main">
  <authors>
    <author>chenjie</author>
    <author>seaman</author>
  </authors>
  <commentList>
    <comment ref="B6" authorId="0">
      <text>
        <r>
          <rPr>
            <b/>
            <sz val="9"/>
            <color indexed="81"/>
            <rFont val="宋体"/>
            <family val="3"/>
            <charset val="134"/>
          </rPr>
          <t>chenjie:</t>
        </r>
        <r>
          <rPr>
            <sz val="9"/>
            <color indexed="81"/>
            <rFont val="宋体"/>
            <family val="3"/>
            <charset val="134"/>
          </rPr>
          <t xml:space="preserve">
该栏应填列全称，不应以地名或不明确的简称或业务内容代替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如“购＊＊设备款”、“购油款”等</t>
        </r>
      </text>
    </comment>
    <comment ref="D6" authorId="0">
      <text>
        <r>
          <rPr>
            <b/>
            <sz val="9"/>
            <color indexed="81"/>
            <rFont val="宋体"/>
            <family val="3"/>
            <charset val="134"/>
          </rPr>
          <t>chenjie:</t>
        </r>
        <r>
          <rPr>
            <sz val="9"/>
            <color indexed="81"/>
            <rFont val="宋体"/>
            <family val="3"/>
            <charset val="134"/>
          </rPr>
          <t xml:space="preserve">
填列最后一笔借方发生额的日期，
日期填写形式(半角状态下)如：2002.6又如2001.11</t>
        </r>
      </text>
    </comment>
    <comment ref="E6" authorId="1">
      <text>
        <r>
          <rPr>
            <sz val="9"/>
            <color indexed="81"/>
            <rFont val="Times New Roman"/>
            <family val="1"/>
          </rPr>
          <t>1</t>
        </r>
        <r>
          <rPr>
            <sz val="9"/>
            <color indexed="81"/>
            <rFont val="宋体"/>
            <family val="3"/>
            <charset val="134"/>
          </rPr>
          <t>年以内</t>
        </r>
        <r>
          <rPr>
            <sz val="9"/>
            <color indexed="81"/>
            <rFont val="Times New Roman"/>
            <family val="1"/>
          </rPr>
          <t xml:space="preserve">
1~2</t>
        </r>
        <r>
          <rPr>
            <sz val="9"/>
            <color indexed="81"/>
            <rFont val="宋体"/>
            <family val="3"/>
            <charset val="134"/>
          </rPr>
          <t>年</t>
        </r>
        <r>
          <rPr>
            <sz val="9"/>
            <color indexed="81"/>
            <rFont val="Times New Roman"/>
            <family val="1"/>
          </rPr>
          <t xml:space="preserve">
2~3</t>
        </r>
        <r>
          <rPr>
            <sz val="9"/>
            <color indexed="81"/>
            <rFont val="宋体"/>
            <family val="3"/>
            <charset val="134"/>
          </rPr>
          <t>年</t>
        </r>
        <r>
          <rPr>
            <sz val="9"/>
            <color indexed="81"/>
            <rFont val="Times New Roman"/>
            <family val="1"/>
          </rPr>
          <t xml:space="preserve">
3~4</t>
        </r>
        <r>
          <rPr>
            <sz val="9"/>
            <color indexed="81"/>
            <rFont val="宋体"/>
            <family val="3"/>
            <charset val="134"/>
          </rPr>
          <t>年</t>
        </r>
        <r>
          <rPr>
            <sz val="9"/>
            <color indexed="81"/>
            <rFont val="Times New Roman"/>
            <family val="1"/>
          </rPr>
          <t xml:space="preserve">
4~5</t>
        </r>
        <r>
          <rPr>
            <sz val="9"/>
            <color indexed="81"/>
            <rFont val="宋体"/>
            <family val="3"/>
            <charset val="134"/>
          </rPr>
          <t>年</t>
        </r>
        <r>
          <rPr>
            <sz val="9"/>
            <color indexed="81"/>
            <rFont val="Times New Roman"/>
            <family val="1"/>
          </rPr>
          <t xml:space="preserve">
5</t>
        </r>
        <r>
          <rPr>
            <sz val="9"/>
            <color indexed="81"/>
            <rFont val="宋体"/>
            <family val="3"/>
            <charset val="134"/>
          </rPr>
          <t>年以上</t>
        </r>
      </text>
    </comment>
    <comment ref="L6" authorId="0">
      <text>
        <r>
          <rPr>
            <b/>
            <sz val="9"/>
            <color indexed="81"/>
            <rFont val="宋体"/>
            <family val="3"/>
            <charset val="134"/>
          </rPr>
          <t>chenjie:</t>
        </r>
        <r>
          <rPr>
            <sz val="9"/>
            <color indexed="81"/>
            <rFont val="宋体"/>
            <family val="3"/>
            <charset val="134"/>
          </rPr>
          <t xml:space="preserve">
1）欠款单位为关联方、总公司内部或内部单位的，应在备注栏注明“关联方”、“总公司内部”“内部单位”；2） 涉诉款项应在备注中标明；3）评估基准日后已收到货物或收回款项的，应注明日期及金额，如“2002.7.4日收回2000元”或2002.7.8日到货验收；4）其他填表单位认为应说明的事项</t>
        </r>
      </text>
    </comment>
  </commentList>
</comments>
</file>

<file path=xl/comments7.xml><?xml version="1.0" encoding="utf-8"?>
<comments xmlns="http://schemas.openxmlformats.org/spreadsheetml/2006/main">
  <authors>
    <author>chenjie</author>
  </authors>
  <commentList>
    <comment ref="B6" authorId="0">
      <text>
        <r>
          <rPr>
            <b/>
            <sz val="9"/>
            <color indexed="81"/>
            <rFont val="宋体"/>
            <family val="3"/>
            <charset val="134"/>
          </rPr>
          <t>chenjie:</t>
        </r>
        <r>
          <rPr>
            <sz val="9"/>
            <color indexed="81"/>
            <rFont val="宋体"/>
            <family val="3"/>
            <charset val="134"/>
          </rPr>
          <t xml:space="preserve">
填全称</t>
        </r>
      </text>
    </comment>
    <comment ref="C6" authorId="0">
      <text>
        <r>
          <rPr>
            <b/>
            <sz val="9"/>
            <color indexed="81"/>
            <rFont val="宋体"/>
            <family val="3"/>
            <charset val="134"/>
          </rPr>
          <t>chenjie:</t>
        </r>
        <r>
          <rPr>
            <sz val="9"/>
            <color indexed="81"/>
            <rFont val="宋体"/>
            <family val="3"/>
            <charset val="134"/>
          </rPr>
          <t xml:space="preserve">
发生日期指利息结算日，填列到日。</t>
        </r>
      </text>
    </comment>
    <comment ref="E6" authorId="0">
      <text>
        <r>
          <rPr>
            <b/>
            <sz val="9"/>
            <color indexed="81"/>
            <rFont val="宋体"/>
            <family val="3"/>
            <charset val="134"/>
          </rPr>
          <t>chenjie:</t>
        </r>
        <r>
          <rPr>
            <sz val="9"/>
            <color indexed="81"/>
            <rFont val="宋体"/>
            <family val="3"/>
            <charset val="134"/>
          </rPr>
          <t xml:space="preserve">
填列到“日”，如“2001.6.1—2001.12.30”。</t>
        </r>
      </text>
    </comment>
  </commentList>
</comments>
</file>

<file path=xl/comments8.xml><?xml version="1.0" encoding="utf-8"?>
<comments xmlns="http://schemas.openxmlformats.org/spreadsheetml/2006/main">
  <authors>
    <author>chenjie</author>
  </authors>
  <commentList>
    <comment ref="C6" authorId="0">
      <text>
        <r>
          <rPr>
            <b/>
            <sz val="9"/>
            <color indexed="81"/>
            <rFont val="宋体"/>
            <family val="3"/>
            <charset val="134"/>
          </rPr>
          <t>chenjie:</t>
        </r>
        <r>
          <rPr>
            <sz val="9"/>
            <color indexed="81"/>
            <rFont val="宋体"/>
            <family val="3"/>
            <charset val="134"/>
          </rPr>
          <t xml:space="preserve">
指的是利润或股利分配时间</t>
        </r>
      </text>
    </comment>
    <comment ref="D6" authorId="0">
      <text>
        <r>
          <rPr>
            <b/>
            <sz val="9"/>
            <color indexed="81"/>
            <rFont val="宋体"/>
            <family val="3"/>
            <charset val="134"/>
          </rPr>
          <t>chenjie:</t>
        </r>
        <r>
          <rPr>
            <sz val="9"/>
            <color indexed="81"/>
            <rFont val="宋体"/>
            <family val="3"/>
            <charset val="134"/>
          </rPr>
          <t xml:space="preserve">
指股利发生的期间，如2002年应收2001年的股利，则该栏目填写“2001年”。</t>
        </r>
      </text>
    </comment>
    <comment ref="J6" authorId="0">
      <text>
        <r>
          <rPr>
            <b/>
            <sz val="9"/>
            <color indexed="81"/>
            <rFont val="宋体"/>
            <family val="3"/>
            <charset val="134"/>
          </rPr>
          <t>chenjie:</t>
        </r>
        <r>
          <rPr>
            <sz val="9"/>
            <color indexed="81"/>
            <rFont val="宋体"/>
            <family val="3"/>
            <charset val="134"/>
          </rPr>
          <t xml:space="preserve">
注明实际的股权比例</t>
        </r>
      </text>
    </comment>
  </commentList>
</comments>
</file>

<file path=xl/comments9.xml><?xml version="1.0" encoding="utf-8"?>
<comments xmlns="http://schemas.openxmlformats.org/spreadsheetml/2006/main">
  <authors>
    <author>chenjie</author>
    <author>seaman</author>
  </authors>
  <commentList>
    <comment ref="B6" authorId="0">
      <text>
        <r>
          <rPr>
            <b/>
            <sz val="9"/>
            <color indexed="81"/>
            <rFont val="宋体"/>
            <family val="3"/>
            <charset val="134"/>
          </rPr>
          <t>chenjie:</t>
        </r>
        <r>
          <rPr>
            <sz val="9"/>
            <color indexed="81"/>
            <rFont val="宋体"/>
            <family val="3"/>
            <charset val="134"/>
          </rPr>
          <t xml:space="preserve">
债务单位名称应填列全称，不应以地名或不明确的简称或业务内容代替</t>
        </r>
      </text>
    </comment>
    <comment ref="C6" authorId="0">
      <text>
        <r>
          <rPr>
            <b/>
            <sz val="9"/>
            <color indexed="81"/>
            <rFont val="宋体"/>
            <family val="3"/>
            <charset val="134"/>
          </rPr>
          <t>chenjie:</t>
        </r>
        <r>
          <rPr>
            <sz val="9"/>
            <color indexed="81"/>
            <rFont val="宋体"/>
            <family val="3"/>
            <charset val="134"/>
          </rPr>
          <t xml:space="preserve">
如：“售油款”等</t>
        </r>
      </text>
    </comment>
    <comment ref="D6" authorId="0">
      <text>
        <r>
          <rPr>
            <b/>
            <sz val="9"/>
            <color indexed="81"/>
            <rFont val="宋体"/>
            <family val="3"/>
            <charset val="134"/>
          </rPr>
          <t>chenjie:</t>
        </r>
        <r>
          <rPr>
            <sz val="9"/>
            <color indexed="81"/>
            <rFont val="宋体"/>
            <family val="3"/>
            <charset val="134"/>
          </rPr>
          <t xml:space="preserve">
填列最后一笔借方发生额的日期；
日期填写形式(半角状态下)如：2002-6又如2001-11</t>
        </r>
      </text>
    </comment>
    <comment ref="E6" authorId="1">
      <text>
        <r>
          <rPr>
            <sz val="9"/>
            <color indexed="81"/>
            <rFont val="Times New Roman"/>
            <family val="1"/>
          </rPr>
          <t>1</t>
        </r>
        <r>
          <rPr>
            <sz val="9"/>
            <color indexed="81"/>
            <rFont val="宋体"/>
            <family val="3"/>
            <charset val="134"/>
          </rPr>
          <t>年以内</t>
        </r>
        <r>
          <rPr>
            <sz val="9"/>
            <color indexed="81"/>
            <rFont val="Times New Roman"/>
            <family val="1"/>
          </rPr>
          <t xml:space="preserve">
1~2</t>
        </r>
        <r>
          <rPr>
            <sz val="9"/>
            <color indexed="81"/>
            <rFont val="宋体"/>
            <family val="3"/>
            <charset val="134"/>
          </rPr>
          <t>年</t>
        </r>
        <r>
          <rPr>
            <sz val="9"/>
            <color indexed="81"/>
            <rFont val="Times New Roman"/>
            <family val="1"/>
          </rPr>
          <t xml:space="preserve">
2~3</t>
        </r>
        <r>
          <rPr>
            <sz val="9"/>
            <color indexed="81"/>
            <rFont val="宋体"/>
            <family val="3"/>
            <charset val="134"/>
          </rPr>
          <t>年</t>
        </r>
        <r>
          <rPr>
            <sz val="9"/>
            <color indexed="81"/>
            <rFont val="Times New Roman"/>
            <family val="1"/>
          </rPr>
          <t xml:space="preserve">
3~4</t>
        </r>
        <r>
          <rPr>
            <sz val="9"/>
            <color indexed="81"/>
            <rFont val="宋体"/>
            <family val="3"/>
            <charset val="134"/>
          </rPr>
          <t>年</t>
        </r>
        <r>
          <rPr>
            <sz val="9"/>
            <color indexed="81"/>
            <rFont val="Times New Roman"/>
            <family val="1"/>
          </rPr>
          <t xml:space="preserve">
4~5</t>
        </r>
        <r>
          <rPr>
            <sz val="9"/>
            <color indexed="81"/>
            <rFont val="宋体"/>
            <family val="3"/>
            <charset val="134"/>
          </rPr>
          <t>年</t>
        </r>
        <r>
          <rPr>
            <sz val="9"/>
            <color indexed="81"/>
            <rFont val="Times New Roman"/>
            <family val="1"/>
          </rPr>
          <t xml:space="preserve">
5</t>
        </r>
        <r>
          <rPr>
            <sz val="9"/>
            <color indexed="81"/>
            <rFont val="宋体"/>
            <family val="3"/>
            <charset val="134"/>
          </rPr>
          <t>年以上</t>
        </r>
      </text>
    </comment>
    <comment ref="S6" authorId="0">
      <text>
        <r>
          <rPr>
            <b/>
            <sz val="9"/>
            <color indexed="81"/>
            <rFont val="宋体"/>
            <family val="3"/>
            <charset val="134"/>
          </rPr>
          <t>chenjie:</t>
        </r>
        <r>
          <rPr>
            <sz val="9"/>
            <color indexed="81"/>
            <rFont val="宋体"/>
            <family val="3"/>
            <charset val="134"/>
          </rPr>
          <t xml:space="preserve">
1）欠款单位为关联方、总公司内部或本公司内部单位的，应在备注栏注明“关联方”、“总公司内部”“内部单位”；2） 涉诉款项应在备注中标明；3）评估基准日后已收回款项的，应注明日期如“2002年7月4日收回”；4）其他填表单位认为应说明的事项</t>
        </r>
      </text>
    </comment>
  </commentList>
</comments>
</file>

<file path=xl/sharedStrings.xml><?xml version="1.0" encoding="utf-8"?>
<sst xmlns="http://schemas.openxmlformats.org/spreadsheetml/2006/main" count="6306" uniqueCount="2353">
  <si>
    <t>评估价值</t>
    <phoneticPr fontId="6" type="noConversion"/>
  </si>
  <si>
    <t>增减值</t>
    <phoneticPr fontId="6" type="noConversion"/>
  </si>
  <si>
    <t>科目名称</t>
    <phoneticPr fontId="6" type="noConversion"/>
  </si>
  <si>
    <t>金额单位：人民币元</t>
    <phoneticPr fontId="6" type="noConversion"/>
  </si>
  <si>
    <t>序号</t>
    <phoneticPr fontId="6" type="noConversion"/>
  </si>
  <si>
    <t>货币资金</t>
    <phoneticPr fontId="6" type="noConversion"/>
  </si>
  <si>
    <t>应收票据</t>
    <phoneticPr fontId="6" type="noConversion"/>
  </si>
  <si>
    <t>应收股利</t>
    <phoneticPr fontId="6" type="noConversion"/>
  </si>
  <si>
    <t>应收利息</t>
    <phoneticPr fontId="6" type="noConversion"/>
  </si>
  <si>
    <t>其他应收款</t>
    <phoneticPr fontId="6" type="noConversion"/>
  </si>
  <si>
    <t>存货</t>
    <phoneticPr fontId="6" type="noConversion"/>
  </si>
  <si>
    <t>工程物资</t>
    <phoneticPr fontId="6" type="noConversion"/>
  </si>
  <si>
    <t>固定资产清理</t>
    <phoneticPr fontId="6" type="noConversion"/>
  </si>
  <si>
    <t>短期借款</t>
    <phoneticPr fontId="6" type="noConversion"/>
  </si>
  <si>
    <t>应付票据</t>
    <phoneticPr fontId="6" type="noConversion"/>
  </si>
  <si>
    <t>其他应付款</t>
    <phoneticPr fontId="6" type="noConversion"/>
  </si>
  <si>
    <t>长期借款</t>
    <phoneticPr fontId="6" type="noConversion"/>
  </si>
  <si>
    <t>应付债券</t>
    <phoneticPr fontId="6" type="noConversion"/>
  </si>
  <si>
    <t>长期应付款</t>
    <phoneticPr fontId="6" type="noConversion"/>
  </si>
  <si>
    <t>增值额</t>
    <phoneticPr fontId="6" type="noConversion"/>
  </si>
  <si>
    <r>
      <t>增值率</t>
    </r>
    <r>
      <rPr>
        <sz val="10"/>
        <rFont val="Times New Roman"/>
        <family val="1"/>
      </rPr>
      <t>%</t>
    </r>
    <phoneticPr fontId="6" type="noConversion"/>
  </si>
  <si>
    <t>3-1</t>
    <phoneticPr fontId="6" type="noConversion"/>
  </si>
  <si>
    <t>3-2</t>
  </si>
  <si>
    <t>3-3</t>
  </si>
  <si>
    <t>3-4</t>
  </si>
  <si>
    <t>3-5</t>
  </si>
  <si>
    <t>3-6</t>
  </si>
  <si>
    <t>3-7</t>
  </si>
  <si>
    <t>3-8</t>
  </si>
  <si>
    <t>3-9</t>
  </si>
  <si>
    <t>3-10</t>
  </si>
  <si>
    <t>3-11</t>
  </si>
  <si>
    <t>流动资产合计</t>
    <phoneticPr fontId="6" type="noConversion"/>
  </si>
  <si>
    <r>
      <t>存放部门（单位</t>
    </r>
    <r>
      <rPr>
        <sz val="10"/>
        <rFont val="Times New Roman"/>
        <family val="1"/>
      </rPr>
      <t>)</t>
    </r>
    <phoneticPr fontId="6" type="noConversion"/>
  </si>
  <si>
    <t>币种</t>
    <phoneticPr fontId="6" type="noConversion"/>
  </si>
  <si>
    <t>评估基准日汇率</t>
    <phoneticPr fontId="6" type="noConversion"/>
  </si>
  <si>
    <r>
      <t>合</t>
    </r>
    <r>
      <rPr>
        <sz val="10"/>
        <rFont val="Times New Roman"/>
        <family val="1"/>
      </rPr>
      <t xml:space="preserve">         </t>
    </r>
    <r>
      <rPr>
        <sz val="10"/>
        <rFont val="宋体"/>
        <family val="3"/>
        <charset val="134"/>
      </rPr>
      <t>计</t>
    </r>
    <phoneticPr fontId="6" type="noConversion"/>
  </si>
  <si>
    <t>开户银行</t>
    <phoneticPr fontId="6" type="noConversion"/>
  </si>
  <si>
    <t>名称及内容</t>
    <phoneticPr fontId="6" type="noConversion"/>
  </si>
  <si>
    <t>用途</t>
    <phoneticPr fontId="6" type="noConversion"/>
  </si>
  <si>
    <t>3-2-1</t>
    <phoneticPr fontId="6" type="noConversion"/>
  </si>
  <si>
    <t>3-2-2</t>
  </si>
  <si>
    <t>被投资单位名称</t>
    <phoneticPr fontId="6" type="noConversion"/>
  </si>
  <si>
    <t>股票名称</t>
    <phoneticPr fontId="6" type="noConversion"/>
  </si>
  <si>
    <t>投资日期</t>
    <phoneticPr fontId="6" type="noConversion"/>
  </si>
  <si>
    <t>持股数量</t>
    <phoneticPr fontId="6" type="noConversion"/>
  </si>
  <si>
    <t>持股比例</t>
    <phoneticPr fontId="6" type="noConversion"/>
  </si>
  <si>
    <r>
      <t>合</t>
    </r>
    <r>
      <rPr>
        <sz val="10"/>
        <rFont val="Times New Roman"/>
        <family val="1"/>
      </rPr>
      <t xml:space="preserve">          </t>
    </r>
    <r>
      <rPr>
        <sz val="10"/>
        <rFont val="宋体"/>
        <family val="3"/>
        <charset val="134"/>
      </rPr>
      <t>计</t>
    </r>
    <phoneticPr fontId="6" type="noConversion"/>
  </si>
  <si>
    <t>债券名称</t>
    <phoneticPr fontId="6" type="noConversion"/>
  </si>
  <si>
    <t>发行日期</t>
    <phoneticPr fontId="6" type="noConversion"/>
  </si>
  <si>
    <r>
      <t>票面利率</t>
    </r>
    <r>
      <rPr>
        <sz val="10"/>
        <rFont val="Times New Roman"/>
        <family val="1"/>
      </rPr>
      <t>%</t>
    </r>
    <phoneticPr fontId="6" type="noConversion"/>
  </si>
  <si>
    <r>
      <t>欠款单位名称（结算对象</t>
    </r>
    <r>
      <rPr>
        <sz val="10"/>
        <rFont val="Times New Roman"/>
        <family val="1"/>
      </rPr>
      <t>)</t>
    </r>
    <phoneticPr fontId="6" type="noConversion"/>
  </si>
  <si>
    <t>业务内容</t>
    <phoneticPr fontId="6" type="noConversion"/>
  </si>
  <si>
    <t>发生日期</t>
    <phoneticPr fontId="6" type="noConversion"/>
  </si>
  <si>
    <r>
      <t>合</t>
    </r>
    <r>
      <rPr>
        <sz val="10"/>
        <rFont val="Times New Roman"/>
        <family val="1"/>
      </rPr>
      <t xml:space="preserve">            </t>
    </r>
    <r>
      <rPr>
        <sz val="10"/>
        <rFont val="宋体"/>
        <family val="3"/>
        <charset val="134"/>
      </rPr>
      <t>计</t>
    </r>
    <phoneticPr fontId="6" type="noConversion"/>
  </si>
  <si>
    <r>
      <t>资产评估结果分类汇总表</t>
    </r>
    <r>
      <rPr>
        <sz val="10"/>
        <rFont val="Times New Roman"/>
        <family val="1"/>
      </rPr>
      <t/>
    </r>
    <phoneticPr fontId="6" type="noConversion"/>
  </si>
  <si>
    <r>
      <t>合</t>
    </r>
    <r>
      <rPr>
        <sz val="10"/>
        <rFont val="Times New Roman"/>
        <family val="1"/>
      </rPr>
      <t xml:space="preserve">                       </t>
    </r>
    <r>
      <rPr>
        <sz val="10"/>
        <rFont val="宋体"/>
        <family val="3"/>
        <charset val="134"/>
      </rPr>
      <t>计</t>
    </r>
    <phoneticPr fontId="6" type="noConversion"/>
  </si>
  <si>
    <r>
      <t>合</t>
    </r>
    <r>
      <rPr>
        <sz val="10"/>
        <rFont val="Times New Roman"/>
        <family val="1"/>
      </rPr>
      <t xml:space="preserve">                    </t>
    </r>
    <r>
      <rPr>
        <sz val="10"/>
        <rFont val="宋体"/>
        <family val="3"/>
        <charset val="134"/>
      </rPr>
      <t>计</t>
    </r>
    <phoneticPr fontId="6" type="noConversion"/>
  </si>
  <si>
    <t>Book1</t>
  </si>
  <si>
    <t>D:\MICROSOFT OFFICE\OFFICE\xlstart\Book1.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</si>
  <si>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</si>
  <si>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</si>
  <si>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</si>
  <si>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</si>
  <si>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</si>
  <si>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</si>
  <si>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</si>
  <si>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</si>
  <si>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</si>
  <si>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</si>
  <si>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
  </si>
  <si>
    <t>金额</t>
    <phoneticPr fontId="6" type="noConversion"/>
  </si>
  <si>
    <t>备注</t>
    <phoneticPr fontId="6" type="noConversion"/>
  </si>
  <si>
    <r>
      <t>1</t>
    </r>
    <r>
      <rPr>
        <sz val="10"/>
        <rFont val="宋体"/>
        <family val="3"/>
        <charset val="134"/>
      </rPr>
      <t>年以内金额</t>
    </r>
    <phoneticPr fontId="6" type="noConversion"/>
  </si>
  <si>
    <r>
      <t>合</t>
    </r>
    <r>
      <rPr>
        <sz val="10"/>
        <rFont val="Times New Roman"/>
        <family val="1"/>
      </rPr>
      <t xml:space="preserve">                             </t>
    </r>
    <r>
      <rPr>
        <sz val="10"/>
        <rFont val="宋体"/>
        <family val="3"/>
        <charset val="134"/>
      </rPr>
      <t>计</t>
    </r>
    <phoneticPr fontId="6" type="noConversion"/>
  </si>
  <si>
    <r>
      <t>3~4</t>
    </r>
    <r>
      <rPr>
        <sz val="10"/>
        <rFont val="宋体"/>
        <family val="3"/>
        <charset val="134"/>
      </rPr>
      <t>年金额</t>
    </r>
    <phoneticPr fontId="6" type="noConversion"/>
  </si>
  <si>
    <r>
      <t>4~5</t>
    </r>
    <r>
      <rPr>
        <sz val="10"/>
        <rFont val="宋体"/>
        <family val="3"/>
        <charset val="134"/>
      </rPr>
      <t>年金额</t>
    </r>
    <phoneticPr fontId="6" type="noConversion"/>
  </si>
  <si>
    <r>
      <t>5</t>
    </r>
    <r>
      <rPr>
        <sz val="10"/>
        <rFont val="宋体"/>
        <family val="3"/>
        <charset val="134"/>
      </rPr>
      <t>年以上金额</t>
    </r>
    <phoneticPr fontId="6" type="noConversion"/>
  </si>
  <si>
    <r>
      <t>3</t>
    </r>
    <r>
      <rPr>
        <sz val="10"/>
        <rFont val="宋体"/>
        <family val="3"/>
        <charset val="134"/>
      </rPr>
      <t>）评估基准日后已部分或全部收回款项的，应注明日期及金额，如</t>
    </r>
    <r>
      <rPr>
        <sz val="10"/>
        <rFont val="Times New Roman"/>
        <family val="1"/>
      </rPr>
      <t>“2003</t>
    </r>
    <r>
      <rPr>
        <sz val="10"/>
        <rFont val="宋体"/>
        <family val="3"/>
        <charset val="134"/>
      </rPr>
      <t>年</t>
    </r>
    <r>
      <rPr>
        <sz val="10"/>
        <rFont val="Times New Roman"/>
        <family val="1"/>
      </rPr>
      <t>2</t>
    </r>
    <r>
      <rPr>
        <sz val="10"/>
        <rFont val="宋体"/>
        <family val="3"/>
        <charset val="134"/>
      </rPr>
      <t>月</t>
    </r>
    <r>
      <rPr>
        <sz val="10"/>
        <rFont val="Times New Roman"/>
        <family val="1"/>
      </rPr>
      <t>4</t>
    </r>
    <r>
      <rPr>
        <sz val="10"/>
        <rFont val="宋体"/>
        <family val="3"/>
        <charset val="134"/>
      </rPr>
      <t>日收回</t>
    </r>
    <r>
      <rPr>
        <sz val="10"/>
        <rFont val="Times New Roman"/>
        <family val="1"/>
      </rPr>
      <t>8,530.00</t>
    </r>
    <r>
      <rPr>
        <sz val="10"/>
        <rFont val="宋体"/>
        <family val="3"/>
        <charset val="134"/>
      </rPr>
      <t>元</t>
    </r>
    <r>
      <rPr>
        <sz val="10"/>
        <rFont val="Times New Roman"/>
        <family val="1"/>
      </rPr>
      <t>”</t>
    </r>
    <r>
      <rPr>
        <sz val="10"/>
        <rFont val="宋体"/>
        <family val="3"/>
        <charset val="134"/>
      </rPr>
      <t>；</t>
    </r>
    <phoneticPr fontId="6" type="noConversion"/>
  </si>
  <si>
    <r>
      <t>檐高</t>
    </r>
    <r>
      <rPr>
        <sz val="10"/>
        <rFont val="Times New Roman"/>
        <family val="1"/>
      </rPr>
      <t>(m)</t>
    </r>
    <phoneticPr fontId="6" type="noConversion"/>
  </si>
  <si>
    <r>
      <t>层高</t>
    </r>
    <r>
      <rPr>
        <sz val="10"/>
        <rFont val="Times New Roman"/>
        <family val="1"/>
      </rPr>
      <t>(m)</t>
    </r>
    <phoneticPr fontId="6" type="noConversion"/>
  </si>
  <si>
    <r>
      <t>跨度</t>
    </r>
    <r>
      <rPr>
        <sz val="10"/>
        <rFont val="Times New Roman"/>
        <family val="1"/>
      </rPr>
      <t>(m)</t>
    </r>
    <phoneticPr fontId="6" type="noConversion"/>
  </si>
  <si>
    <r>
      <t>柱距</t>
    </r>
    <r>
      <rPr>
        <sz val="10"/>
        <rFont val="Times New Roman"/>
        <family val="1"/>
      </rPr>
      <t>(m)</t>
    </r>
    <phoneticPr fontId="6" type="noConversion"/>
  </si>
  <si>
    <t>宗地名称</t>
    <phoneticPr fontId="6" type="noConversion"/>
  </si>
  <si>
    <t>现场勘察简单记录</t>
    <phoneticPr fontId="6" type="noConversion"/>
  </si>
  <si>
    <t>名称</t>
    <phoneticPr fontId="6" type="noConversion"/>
  </si>
  <si>
    <t>规格型号</t>
    <phoneticPr fontId="6" type="noConversion"/>
  </si>
  <si>
    <t>数量</t>
    <phoneticPr fontId="6" type="noConversion"/>
  </si>
  <si>
    <t>使用单位</t>
    <phoneticPr fontId="6" type="noConversion"/>
  </si>
  <si>
    <t>现金</t>
  </si>
  <si>
    <t>短期借款</t>
  </si>
  <si>
    <t>银行存款</t>
  </si>
  <si>
    <t>应付票据</t>
  </si>
  <si>
    <t>其他货币资金</t>
  </si>
  <si>
    <t>应收票据</t>
  </si>
  <si>
    <t>应收股利</t>
  </si>
  <si>
    <t>其他应收款</t>
  </si>
  <si>
    <t>原材料</t>
  </si>
  <si>
    <t>材料采购（在途物资）</t>
  </si>
  <si>
    <t>产成品（库存商品）</t>
  </si>
  <si>
    <t>在产品（自制半成品）</t>
  </si>
  <si>
    <t>长期借款</t>
  </si>
  <si>
    <t>长期应付款</t>
  </si>
  <si>
    <t>工程物资</t>
  </si>
  <si>
    <t>固定资产清理</t>
  </si>
  <si>
    <t>作任何修改变动，谢谢合作！</t>
  </si>
  <si>
    <t>评估申报表填表说明</t>
    <phoneticPr fontId="6" type="noConversion"/>
  </si>
  <si>
    <t>本工作簿用于资产评估委托方或资产占有方对评估基准日下的委估资产及负债的账面价值的申报；</t>
    <phoneticPr fontId="6" type="noConversion"/>
  </si>
  <si>
    <t>此表各科目明细的合计数，应与本次资产评估范围内的资产评估基准日的资产负债表的数据相符；</t>
    <phoneticPr fontId="6" type="noConversion"/>
  </si>
  <si>
    <t>如为累计发生的业务，请将发生日期填为最后一笔业务的发生日期；</t>
    <phoneticPr fontId="6" type="noConversion"/>
  </si>
  <si>
    <t>注：</t>
    <phoneticPr fontId="6" type="noConversion"/>
  </si>
  <si>
    <t>资产评估申报表索引目录</t>
  </si>
  <si>
    <t>评估申报表封面</t>
  </si>
  <si>
    <t>汇总表</t>
  </si>
  <si>
    <t>流动资产</t>
  </si>
  <si>
    <t>货币资金</t>
  </si>
  <si>
    <t>流动负债</t>
  </si>
  <si>
    <t>债券投资</t>
  </si>
  <si>
    <t>存货</t>
  </si>
  <si>
    <t>长期投资</t>
  </si>
  <si>
    <t>固定资产</t>
  </si>
  <si>
    <t>房屋建筑物</t>
  </si>
  <si>
    <t>构筑物及其他辅助设施</t>
  </si>
  <si>
    <t>管道及沟槽</t>
  </si>
  <si>
    <t>土地使用权</t>
  </si>
  <si>
    <t>机器设备</t>
  </si>
  <si>
    <t>其他无形资产</t>
  </si>
  <si>
    <t>车辆</t>
  </si>
  <si>
    <t>电子设备</t>
  </si>
  <si>
    <t>长期待摊费用</t>
  </si>
  <si>
    <t>返回索引页</t>
  </si>
  <si>
    <t>返回</t>
  </si>
  <si>
    <t>返回</t>
    <phoneticPr fontId="6" type="noConversion"/>
  </si>
  <si>
    <t>除以上要求企业填写的或按具体情况评估人员另作要求填写的栏目或项外，企业不应对此套表的其它部分</t>
    <phoneticPr fontId="6" type="noConversion"/>
  </si>
  <si>
    <t>如有疑问请与我公司项目组或我公司现场人员联系</t>
    <phoneticPr fontId="6" type="noConversion"/>
  </si>
  <si>
    <t>基本情况表</t>
  </si>
  <si>
    <t>法定地址</t>
  </si>
  <si>
    <t>总经理</t>
  </si>
  <si>
    <t>财务负责人</t>
  </si>
  <si>
    <t>经营范围</t>
  </si>
  <si>
    <t>注册日期</t>
  </si>
  <si>
    <t>经营期限</t>
  </si>
  <si>
    <t>经济性质</t>
  </si>
  <si>
    <t>总资产额</t>
  </si>
  <si>
    <t>营业收入</t>
  </si>
  <si>
    <t>主管工商机关</t>
  </si>
  <si>
    <t>营业执照号码</t>
  </si>
  <si>
    <t>所属行业</t>
  </si>
  <si>
    <t>净资产额</t>
  </si>
  <si>
    <t>税后利润</t>
  </si>
  <si>
    <t>主管税务机关</t>
  </si>
  <si>
    <t>批准机关及证书号码</t>
  </si>
  <si>
    <t>开业日期</t>
  </si>
  <si>
    <t>休假日</t>
  </si>
  <si>
    <t>注册资本</t>
  </si>
  <si>
    <t>实收资本</t>
  </si>
  <si>
    <t>金额</t>
  </si>
  <si>
    <t>出资比例</t>
  </si>
  <si>
    <t>委托项目</t>
  </si>
  <si>
    <t>类别</t>
  </si>
  <si>
    <t>目的</t>
  </si>
  <si>
    <t>范围</t>
  </si>
  <si>
    <t>法定代表人：</t>
  </si>
  <si>
    <t>评估机构：</t>
  </si>
  <si>
    <t>签字注册资产评估师：</t>
  </si>
  <si>
    <t>中文</t>
    <phoneticPr fontId="6" type="noConversion"/>
  </si>
  <si>
    <t>法定代表人</t>
    <phoneticPr fontId="6" type="noConversion"/>
  </si>
  <si>
    <t>手机</t>
    <phoneticPr fontId="6" type="noConversion"/>
  </si>
  <si>
    <t>英文</t>
    <phoneticPr fontId="6" type="noConversion"/>
  </si>
  <si>
    <t>邮政编码</t>
    <phoneticPr fontId="6" type="noConversion"/>
  </si>
  <si>
    <t>办公地址</t>
    <phoneticPr fontId="6" type="noConversion"/>
  </si>
  <si>
    <t>办公电话</t>
    <phoneticPr fontId="6" type="noConversion"/>
  </si>
  <si>
    <t>传真</t>
    <phoneticPr fontId="6" type="noConversion"/>
  </si>
  <si>
    <t>E-mail</t>
    <phoneticPr fontId="6" type="noConversion"/>
  </si>
  <si>
    <t>项目联系人</t>
    <phoneticPr fontId="6" type="noConversion"/>
  </si>
  <si>
    <t>执行会计制度</t>
    <phoneticPr fontId="6" type="noConversion"/>
  </si>
  <si>
    <t>合计</t>
    <phoneticPr fontId="6" type="noConversion"/>
  </si>
  <si>
    <t>地址</t>
    <phoneticPr fontId="6" type="noConversion"/>
  </si>
  <si>
    <t>注册资金</t>
    <phoneticPr fontId="6" type="noConversion"/>
  </si>
  <si>
    <t>核算方式</t>
    <phoneticPr fontId="6" type="noConversion"/>
  </si>
  <si>
    <t>前评估情况</t>
    <phoneticPr fontId="6" type="noConversion"/>
  </si>
  <si>
    <t>项目编号</t>
    <phoneticPr fontId="6" type="noConversion"/>
  </si>
  <si>
    <t>作业日期</t>
    <phoneticPr fontId="6" type="noConversion"/>
  </si>
  <si>
    <t>报告编号</t>
    <phoneticPr fontId="6" type="noConversion"/>
  </si>
  <si>
    <t>项目负责人：</t>
    <phoneticPr fontId="6" type="noConversion"/>
  </si>
  <si>
    <t>沈琦</t>
    <phoneticPr fontId="6" type="noConversion"/>
  </si>
  <si>
    <t>中联资产评估有限公司</t>
    <phoneticPr fontId="6" type="noConversion"/>
  </si>
  <si>
    <t>流动资产</t>
    <phoneticPr fontId="6" type="noConversion"/>
  </si>
  <si>
    <t>设备</t>
    <phoneticPr fontId="6" type="noConversion"/>
  </si>
  <si>
    <t>房屋</t>
    <phoneticPr fontId="6" type="noConversion"/>
  </si>
  <si>
    <t>土地</t>
    <phoneticPr fontId="6" type="noConversion"/>
  </si>
  <si>
    <t>无形资产</t>
    <phoneticPr fontId="6" type="noConversion"/>
  </si>
  <si>
    <t>资产</t>
  </si>
  <si>
    <t>序号</t>
  </si>
  <si>
    <t>期初数</t>
  </si>
  <si>
    <t>期末数</t>
  </si>
  <si>
    <t>负债及所有者权益</t>
  </si>
  <si>
    <t>流动负债：</t>
  </si>
  <si>
    <t>所有者权益：</t>
  </si>
  <si>
    <t>与总资产相差</t>
  </si>
  <si>
    <t>资产负债表</t>
    <phoneticPr fontId="6" type="noConversion"/>
  </si>
  <si>
    <t>金额单位：人民币元</t>
    <phoneticPr fontId="4" type="noConversion"/>
  </si>
  <si>
    <t>备注</t>
    <phoneticPr fontId="4" type="noConversion"/>
  </si>
  <si>
    <t>所有者权益合计</t>
    <phoneticPr fontId="6" type="noConversion"/>
  </si>
  <si>
    <t>财务主管：</t>
    <phoneticPr fontId="6" type="noConversion"/>
  </si>
  <si>
    <t>负责人：</t>
    <phoneticPr fontId="6" type="noConversion"/>
  </si>
  <si>
    <t>返回索引页</t>
    <phoneticPr fontId="6" type="noConversion"/>
  </si>
  <si>
    <r>
      <t>资产占有单位名称</t>
    </r>
    <r>
      <rPr>
        <b/>
        <sz val="10"/>
        <rFont val="Times New Roman"/>
        <family val="1"/>
      </rPr>
      <t>:</t>
    </r>
    <phoneticPr fontId="6" type="noConversion"/>
  </si>
  <si>
    <r>
      <t>填表人：</t>
    </r>
    <r>
      <rPr>
        <sz val="10"/>
        <rFont val="Times New Roman"/>
        <family val="1"/>
      </rPr>
      <t xml:space="preserve"> </t>
    </r>
    <phoneticPr fontId="4" type="noConversion"/>
  </si>
  <si>
    <r>
      <t>1</t>
    </r>
    <r>
      <rPr>
        <b/>
        <sz val="12"/>
        <rFont val="宋体"/>
        <family val="3"/>
        <charset val="134"/>
      </rPr>
      <t>、</t>
    </r>
    <phoneticPr fontId="6" type="noConversion"/>
  </si>
  <si>
    <r>
      <t>2</t>
    </r>
    <r>
      <rPr>
        <b/>
        <sz val="12"/>
        <rFont val="宋体"/>
        <family val="3"/>
        <charset val="134"/>
      </rPr>
      <t>、</t>
    </r>
    <phoneticPr fontId="6" type="noConversion"/>
  </si>
  <si>
    <r>
      <t>3</t>
    </r>
    <r>
      <rPr>
        <b/>
        <sz val="12"/>
        <rFont val="宋体"/>
        <family val="3"/>
        <charset val="134"/>
      </rPr>
      <t>、</t>
    </r>
    <phoneticPr fontId="6" type="noConversion"/>
  </si>
  <si>
    <r>
      <t>4</t>
    </r>
    <r>
      <rPr>
        <b/>
        <sz val="12"/>
        <rFont val="宋体"/>
        <family val="3"/>
        <charset val="134"/>
      </rPr>
      <t>、</t>
    </r>
    <phoneticPr fontId="6" type="noConversion"/>
  </si>
  <si>
    <r>
      <t>明细表中如有日期档，除各明细表中有具体要求外，其格式应为</t>
    </r>
    <r>
      <rPr>
        <sz val="12"/>
        <rFont val="Times New Roman"/>
        <family val="1"/>
      </rPr>
      <t>“XXXX-XX”</t>
    </r>
    <r>
      <rPr>
        <sz val="12"/>
        <rFont val="仿宋_GB2312"/>
        <family val="3"/>
        <charset val="134"/>
      </rPr>
      <t>；</t>
    </r>
    <phoneticPr fontId="6" type="noConversion"/>
  </si>
  <si>
    <r>
      <t xml:space="preserve">    </t>
    </r>
    <r>
      <rPr>
        <sz val="12"/>
        <rFont val="仿宋_GB2312"/>
        <family val="3"/>
        <charset val="134"/>
      </rPr>
      <t>例：</t>
    </r>
    <r>
      <rPr>
        <sz val="12"/>
        <rFont val="Times New Roman"/>
        <family val="1"/>
      </rPr>
      <t>“2000</t>
    </r>
    <r>
      <rPr>
        <sz val="12"/>
        <rFont val="仿宋_GB2312"/>
        <family val="3"/>
        <charset val="134"/>
      </rPr>
      <t>年</t>
    </r>
    <r>
      <rPr>
        <sz val="12"/>
        <rFont val="Times New Roman"/>
        <family val="1"/>
      </rPr>
      <t>09</t>
    </r>
    <r>
      <rPr>
        <sz val="12"/>
        <rFont val="仿宋_GB2312"/>
        <family val="3"/>
        <charset val="134"/>
      </rPr>
      <t>月</t>
    </r>
    <r>
      <rPr>
        <sz val="12"/>
        <rFont val="Times New Roman"/>
        <family val="1"/>
      </rPr>
      <t>10</t>
    </r>
    <r>
      <rPr>
        <sz val="12"/>
        <rFont val="仿宋_GB2312"/>
        <family val="3"/>
        <charset val="134"/>
      </rPr>
      <t>日</t>
    </r>
    <r>
      <rPr>
        <sz val="12"/>
        <rFont val="Times New Roman"/>
        <family val="1"/>
      </rPr>
      <t>”</t>
    </r>
    <r>
      <rPr>
        <sz val="12"/>
        <rFont val="仿宋_GB2312"/>
        <family val="3"/>
        <charset val="134"/>
      </rPr>
      <t>应填为</t>
    </r>
    <r>
      <rPr>
        <sz val="12"/>
        <rFont val="Times New Roman"/>
        <family val="1"/>
      </rPr>
      <t>“2000-09”</t>
    </r>
    <phoneticPr fontId="6" type="noConversion"/>
  </si>
  <si>
    <r>
      <t>如无法确定具体月份，请将月份填为</t>
    </r>
    <r>
      <rPr>
        <sz val="12"/>
        <rFont val="Times New Roman"/>
        <family val="1"/>
      </rPr>
      <t>01</t>
    </r>
    <r>
      <rPr>
        <sz val="12"/>
        <rFont val="仿宋_GB2312"/>
        <family val="3"/>
        <charset val="134"/>
      </rPr>
      <t>月；</t>
    </r>
    <phoneticPr fontId="6" type="noConversion"/>
  </si>
  <si>
    <r>
      <t xml:space="preserve">    </t>
    </r>
    <r>
      <rPr>
        <sz val="12"/>
        <rFont val="仿宋_GB2312"/>
        <family val="3"/>
        <charset val="134"/>
      </rPr>
      <t>例：</t>
    </r>
    <r>
      <rPr>
        <sz val="12"/>
        <rFont val="Times New Roman"/>
        <family val="1"/>
      </rPr>
      <t>“2000</t>
    </r>
    <r>
      <rPr>
        <sz val="12"/>
        <rFont val="仿宋_GB2312"/>
        <family val="3"/>
        <charset val="134"/>
      </rPr>
      <t>年</t>
    </r>
    <r>
      <rPr>
        <sz val="12"/>
        <rFont val="Times New Roman"/>
        <family val="1"/>
      </rPr>
      <t>”</t>
    </r>
    <r>
      <rPr>
        <sz val="12"/>
        <rFont val="仿宋_GB2312"/>
        <family val="3"/>
        <charset val="134"/>
      </rPr>
      <t>应填为</t>
    </r>
    <r>
      <rPr>
        <sz val="12"/>
        <rFont val="Times New Roman"/>
        <family val="1"/>
      </rPr>
      <t>“2000-01”</t>
    </r>
    <phoneticPr fontId="6" type="noConversion"/>
  </si>
  <si>
    <r>
      <t>5</t>
    </r>
    <r>
      <rPr>
        <b/>
        <sz val="12"/>
        <rFont val="宋体"/>
        <family val="3"/>
        <charset val="134"/>
      </rPr>
      <t>、</t>
    </r>
    <phoneticPr fontId="6" type="noConversion"/>
  </si>
  <si>
    <r>
      <t>6</t>
    </r>
    <r>
      <rPr>
        <b/>
        <sz val="12"/>
        <rFont val="宋体"/>
        <family val="3"/>
        <charset val="134"/>
      </rPr>
      <t>、</t>
    </r>
    <phoneticPr fontId="6" type="noConversion"/>
  </si>
  <si>
    <r>
      <t>填表人可通过</t>
    </r>
    <r>
      <rPr>
        <sz val="12"/>
        <rFont val="Times New Roman"/>
        <family val="1"/>
      </rPr>
      <t>“</t>
    </r>
    <r>
      <rPr>
        <sz val="12"/>
        <rFont val="仿宋_GB2312"/>
        <family val="3"/>
        <charset val="134"/>
      </rPr>
      <t>资产评估申报表索引目录</t>
    </r>
    <r>
      <rPr>
        <sz val="12"/>
        <rFont val="Times New Roman"/>
        <family val="1"/>
      </rPr>
      <t>”</t>
    </r>
    <r>
      <rPr>
        <sz val="12"/>
        <rFont val="仿宋_GB2312"/>
        <family val="3"/>
        <charset val="134"/>
      </rPr>
      <t>来选择要查看或修改的科目</t>
    </r>
    <r>
      <rPr>
        <sz val="12"/>
        <rFont val="Times New Roman"/>
        <family val="1"/>
      </rPr>
      <t>,</t>
    </r>
    <r>
      <rPr>
        <sz val="12"/>
        <rFont val="仿宋_GB2312"/>
        <family val="3"/>
        <charset val="134"/>
      </rPr>
      <t>通过</t>
    </r>
    <r>
      <rPr>
        <sz val="12"/>
        <rFont val="Times New Roman"/>
        <family val="1"/>
      </rPr>
      <t>“</t>
    </r>
    <r>
      <rPr>
        <sz val="12"/>
        <rFont val="仿宋_GB2312"/>
        <family val="3"/>
        <charset val="134"/>
      </rPr>
      <t>返回索引页</t>
    </r>
    <r>
      <rPr>
        <sz val="12"/>
        <rFont val="Times New Roman"/>
        <family val="1"/>
      </rPr>
      <t>”</t>
    </r>
    <r>
      <rPr>
        <sz val="12"/>
        <rFont val="仿宋_GB2312"/>
        <family val="3"/>
        <charset val="134"/>
      </rPr>
      <t>按纽可返回</t>
    </r>
    <r>
      <rPr>
        <sz val="12"/>
        <rFont val="Times New Roman"/>
        <family val="1"/>
      </rPr>
      <t>“</t>
    </r>
    <r>
      <rPr>
        <sz val="12"/>
        <rFont val="仿宋_GB2312"/>
        <family val="3"/>
        <charset val="134"/>
      </rPr>
      <t>选择目录</t>
    </r>
    <r>
      <rPr>
        <sz val="12"/>
        <rFont val="Times New Roman"/>
        <family val="1"/>
      </rPr>
      <t>”</t>
    </r>
    <phoneticPr fontId="6" type="noConversion"/>
  </si>
  <si>
    <r>
      <t>7</t>
    </r>
    <r>
      <rPr>
        <b/>
        <sz val="12"/>
        <rFont val="宋体"/>
        <family val="3"/>
        <charset val="134"/>
      </rPr>
      <t>、</t>
    </r>
    <phoneticPr fontId="6" type="noConversion"/>
  </si>
  <si>
    <r>
      <t>公司电话：</t>
    </r>
    <r>
      <rPr>
        <b/>
        <sz val="12"/>
        <rFont val="Times New Roman"/>
        <family val="1"/>
      </rPr>
      <t xml:space="preserve">010-68365066      </t>
    </r>
    <r>
      <rPr>
        <b/>
        <sz val="12"/>
        <rFont val="黑体"/>
        <family val="3"/>
        <charset val="134"/>
      </rPr>
      <t>传真：</t>
    </r>
    <r>
      <rPr>
        <b/>
        <sz val="12"/>
        <rFont val="Times New Roman"/>
        <family val="1"/>
      </rPr>
      <t>010-68365038</t>
    </r>
    <phoneticPr fontId="6" type="noConversion"/>
  </si>
  <si>
    <t>一、流动资产合计</t>
    <phoneticPr fontId="6" type="noConversion"/>
  </si>
  <si>
    <r>
      <t>其他流动资产</t>
    </r>
    <r>
      <rPr>
        <sz val="8"/>
        <rFont val="Times New Roman"/>
        <family val="1"/>
      </rPr>
      <t/>
    </r>
    <phoneticPr fontId="6" type="noConversion"/>
  </si>
  <si>
    <r>
      <t>其他流动负债</t>
    </r>
    <r>
      <rPr>
        <sz val="8"/>
        <rFont val="Times New Roman"/>
        <family val="1"/>
      </rPr>
      <t/>
    </r>
    <phoneticPr fontId="6" type="noConversion"/>
  </si>
  <si>
    <t>固定资产</t>
    <phoneticPr fontId="6" type="noConversion"/>
  </si>
  <si>
    <r>
      <t>户名（结算对象</t>
    </r>
    <r>
      <rPr>
        <sz val="10"/>
        <rFont val="Times New Roman"/>
        <family val="1"/>
      </rPr>
      <t>)</t>
    </r>
    <phoneticPr fontId="6" type="noConversion"/>
  </si>
  <si>
    <t>初始额</t>
    <phoneticPr fontId="6" type="noConversion"/>
  </si>
  <si>
    <t>利息及汇率净损失</t>
    <phoneticPr fontId="6" type="noConversion"/>
  </si>
  <si>
    <r>
      <t>合</t>
    </r>
    <r>
      <rPr>
        <sz val="10"/>
        <rFont val="Times New Roman"/>
        <family val="1"/>
      </rPr>
      <t xml:space="preserve">                          </t>
    </r>
    <r>
      <rPr>
        <sz val="10"/>
        <rFont val="宋体"/>
        <family val="3"/>
        <charset val="134"/>
      </rPr>
      <t>计</t>
    </r>
    <phoneticPr fontId="6" type="noConversion"/>
  </si>
  <si>
    <t>放款银行或机构名称</t>
    <phoneticPr fontId="6" type="noConversion"/>
  </si>
  <si>
    <t>到期日</t>
    <phoneticPr fontId="6" type="noConversion"/>
  </si>
  <si>
    <r>
      <t>月利率</t>
    </r>
    <r>
      <rPr>
        <sz val="10"/>
        <rFont val="Times New Roman"/>
        <family val="1"/>
      </rPr>
      <t>%</t>
    </r>
    <phoneticPr fontId="6" type="noConversion"/>
  </si>
  <si>
    <t>外币金额</t>
    <phoneticPr fontId="6" type="noConversion"/>
  </si>
  <si>
    <t>外币基准日汇率</t>
    <phoneticPr fontId="6" type="noConversion"/>
  </si>
  <si>
    <t>编号</t>
    <phoneticPr fontId="6" type="noConversion"/>
  </si>
  <si>
    <r>
      <t>票面月利率</t>
    </r>
    <r>
      <rPr>
        <sz val="10"/>
        <rFont val="Times New Roman"/>
        <family val="1"/>
      </rPr>
      <t>%</t>
    </r>
    <phoneticPr fontId="6" type="noConversion"/>
  </si>
  <si>
    <r>
      <t>合</t>
    </r>
    <r>
      <rPr>
        <sz val="10"/>
        <rFont val="Times New Roman"/>
        <family val="1"/>
      </rPr>
      <t xml:space="preserve">                                    </t>
    </r>
    <r>
      <rPr>
        <sz val="10"/>
        <rFont val="宋体"/>
        <family val="3"/>
        <charset val="134"/>
      </rPr>
      <t>计</t>
    </r>
    <phoneticPr fontId="6" type="noConversion"/>
  </si>
  <si>
    <t>利润所属期间</t>
    <phoneticPr fontId="6" type="noConversion"/>
  </si>
  <si>
    <t>征税机关</t>
    <phoneticPr fontId="6" type="noConversion"/>
  </si>
  <si>
    <r>
      <t>合</t>
    </r>
    <r>
      <rPr>
        <sz val="10"/>
        <rFont val="Times New Roman"/>
        <family val="1"/>
      </rPr>
      <t xml:space="preserve">                         </t>
    </r>
    <r>
      <rPr>
        <sz val="10"/>
        <rFont val="宋体"/>
        <family val="3"/>
        <charset val="134"/>
      </rPr>
      <t>计</t>
    </r>
    <phoneticPr fontId="6" type="noConversion"/>
  </si>
  <si>
    <t>内容或名称</t>
    <phoneticPr fontId="6" type="noConversion"/>
  </si>
  <si>
    <t>取得日期</t>
    <phoneticPr fontId="6" type="noConversion"/>
  </si>
  <si>
    <r>
      <t>法定</t>
    </r>
    <r>
      <rPr>
        <sz val="10"/>
        <rFont val="Times New Roman"/>
        <family val="1"/>
      </rPr>
      <t>/</t>
    </r>
    <r>
      <rPr>
        <sz val="10"/>
        <rFont val="宋体"/>
        <family val="3"/>
        <charset val="134"/>
      </rPr>
      <t>预计使用年限</t>
    </r>
    <phoneticPr fontId="6" type="noConversion"/>
  </si>
  <si>
    <t>土地权证编号</t>
    <phoneticPr fontId="6" type="noConversion"/>
  </si>
  <si>
    <t>土地位置</t>
    <phoneticPr fontId="6" type="noConversion"/>
  </si>
  <si>
    <t>用地性质</t>
    <phoneticPr fontId="6" type="noConversion"/>
  </si>
  <si>
    <t>准用年限</t>
    <phoneticPr fontId="6" type="noConversion"/>
  </si>
  <si>
    <t>开发程度</t>
    <phoneticPr fontId="6" type="noConversion"/>
  </si>
  <si>
    <r>
      <t>面积</t>
    </r>
    <r>
      <rPr>
        <sz val="10"/>
        <rFont val="Times New Roman"/>
        <family val="1"/>
      </rPr>
      <t>(m</t>
    </r>
    <r>
      <rPr>
        <vertAlign val="superscript"/>
        <sz val="10"/>
        <rFont val="Times New Roman"/>
        <family val="1"/>
      </rPr>
      <t>2</t>
    </r>
    <r>
      <rPr>
        <sz val="10"/>
        <rFont val="Times New Roman"/>
        <family val="1"/>
      </rPr>
      <t>)</t>
    </r>
    <phoneticPr fontId="6" type="noConversion"/>
  </si>
  <si>
    <t>待处理资产名称</t>
    <phoneticPr fontId="6" type="noConversion"/>
  </si>
  <si>
    <t>项目名称</t>
    <phoneticPr fontId="6" type="noConversion"/>
  </si>
  <si>
    <t>设备费</t>
    <phoneticPr fontId="6" type="noConversion"/>
  </si>
  <si>
    <t>资金成本</t>
    <phoneticPr fontId="6" type="noConversion"/>
  </si>
  <si>
    <t>安装费及其他</t>
    <phoneticPr fontId="6" type="noConversion"/>
  </si>
  <si>
    <t>结构</t>
    <phoneticPr fontId="6" type="noConversion"/>
  </si>
  <si>
    <t>吊车吨位</t>
    <phoneticPr fontId="6" type="noConversion"/>
  </si>
  <si>
    <t>开工日期</t>
    <phoneticPr fontId="6" type="noConversion"/>
  </si>
  <si>
    <t>预计完工日期</t>
    <phoneticPr fontId="6" type="noConversion"/>
  </si>
  <si>
    <t>形象进度</t>
    <phoneticPr fontId="6" type="noConversion"/>
  </si>
  <si>
    <t>付款比例</t>
    <phoneticPr fontId="6" type="noConversion"/>
  </si>
  <si>
    <t>工程项目</t>
    <phoneticPr fontId="6" type="noConversion"/>
  </si>
  <si>
    <t>实际数量</t>
    <phoneticPr fontId="6" type="noConversion"/>
  </si>
  <si>
    <r>
      <t xml:space="preserve">增值率
</t>
    </r>
    <r>
      <rPr>
        <sz val="10"/>
        <rFont val="Times New Roman"/>
        <family val="1"/>
      </rPr>
      <t>%</t>
    </r>
    <phoneticPr fontId="6" type="noConversion"/>
  </si>
  <si>
    <t>单价</t>
    <phoneticPr fontId="6" type="noConversion"/>
  </si>
  <si>
    <t>设备名称</t>
    <phoneticPr fontId="6" type="noConversion"/>
  </si>
  <si>
    <t>生产厂家</t>
    <phoneticPr fontId="6" type="noConversion"/>
  </si>
  <si>
    <t>计量单位</t>
    <phoneticPr fontId="6" type="noConversion"/>
  </si>
  <si>
    <t>购置日期</t>
    <phoneticPr fontId="6" type="noConversion"/>
  </si>
  <si>
    <t>启用日期</t>
    <phoneticPr fontId="6" type="noConversion"/>
  </si>
  <si>
    <t>原值</t>
    <phoneticPr fontId="6" type="noConversion"/>
  </si>
  <si>
    <t>净值</t>
    <phoneticPr fontId="6" type="noConversion"/>
  </si>
  <si>
    <r>
      <t>成新率</t>
    </r>
    <r>
      <rPr>
        <sz val="10"/>
        <rFont val="Times New Roman"/>
        <family val="1"/>
      </rPr>
      <t>%</t>
    </r>
    <phoneticPr fontId="6" type="noConversion"/>
  </si>
  <si>
    <t>车辆牌号</t>
    <phoneticPr fontId="6" type="noConversion"/>
  </si>
  <si>
    <r>
      <t>已行驶里程</t>
    </r>
    <r>
      <rPr>
        <sz val="10"/>
        <rFont val="Times New Roman"/>
        <family val="1"/>
      </rPr>
      <t>(</t>
    </r>
    <r>
      <rPr>
        <sz val="10"/>
        <rFont val="宋体"/>
        <family val="3"/>
        <charset val="134"/>
      </rPr>
      <t>公里</t>
    </r>
    <r>
      <rPr>
        <sz val="10"/>
        <rFont val="Times New Roman"/>
        <family val="1"/>
      </rPr>
      <t>)</t>
    </r>
    <phoneticPr fontId="6" type="noConversion"/>
  </si>
  <si>
    <r>
      <t xml:space="preserve"> </t>
    </r>
    <r>
      <rPr>
        <sz val="10"/>
        <rFont val="宋体"/>
        <family val="3"/>
        <charset val="134"/>
      </rPr>
      <t>名称</t>
    </r>
    <phoneticPr fontId="6" type="noConversion"/>
  </si>
  <si>
    <r>
      <t>沟宽</t>
    </r>
    <r>
      <rPr>
        <sz val="10"/>
        <rFont val="Times New Roman"/>
        <family val="1"/>
      </rPr>
      <t>*</t>
    </r>
    <r>
      <rPr>
        <sz val="10"/>
        <rFont val="宋体"/>
        <family val="3"/>
        <charset val="134"/>
      </rPr>
      <t>沟厚</t>
    </r>
    <r>
      <rPr>
        <sz val="10"/>
        <rFont val="Times New Roman"/>
        <family val="1"/>
      </rPr>
      <t xml:space="preserve">(mm*mm)
</t>
    </r>
    <r>
      <rPr>
        <sz val="10"/>
        <rFont val="宋体"/>
        <family val="3"/>
        <charset val="134"/>
      </rPr>
      <t>管径</t>
    </r>
    <r>
      <rPr>
        <sz val="10"/>
        <rFont val="Times New Roman"/>
        <family val="1"/>
      </rPr>
      <t>*</t>
    </r>
    <r>
      <rPr>
        <sz val="10"/>
        <rFont val="宋体"/>
        <family val="3"/>
        <charset val="134"/>
      </rPr>
      <t>壁厚</t>
    </r>
    <r>
      <rPr>
        <sz val="10"/>
        <rFont val="Times New Roman"/>
        <family val="1"/>
      </rPr>
      <t>(mm*mm)</t>
    </r>
    <phoneticPr fontId="6" type="noConversion"/>
  </si>
  <si>
    <t>材质</t>
    <phoneticPr fontId="6" type="noConversion"/>
  </si>
  <si>
    <t>绝缘方式</t>
    <phoneticPr fontId="6" type="noConversion"/>
  </si>
  <si>
    <t>建成年月</t>
    <phoneticPr fontId="6" type="noConversion"/>
  </si>
  <si>
    <r>
      <t>面积体积</t>
    </r>
    <r>
      <rPr>
        <sz val="10"/>
        <rFont val="Times New Roman"/>
        <family val="1"/>
      </rPr>
      <t>m</t>
    </r>
    <r>
      <rPr>
        <vertAlign val="superscript"/>
        <sz val="10"/>
        <rFont val="Times New Roman"/>
        <family val="1"/>
      </rPr>
      <t>2</t>
    </r>
    <r>
      <rPr>
        <sz val="10"/>
        <rFont val="宋体"/>
        <family val="3"/>
        <charset val="134"/>
      </rPr>
      <t>或</t>
    </r>
    <r>
      <rPr>
        <sz val="10"/>
        <rFont val="Times New Roman"/>
        <family val="1"/>
      </rPr>
      <t>m</t>
    </r>
    <r>
      <rPr>
        <vertAlign val="superscript"/>
        <sz val="10"/>
        <rFont val="Times New Roman"/>
        <family val="1"/>
      </rPr>
      <t>3</t>
    </r>
    <phoneticPr fontId="6" type="noConversion"/>
  </si>
  <si>
    <r>
      <t>评估单价</t>
    </r>
    <r>
      <rPr>
        <sz val="10"/>
        <rFont val="Times New Roman"/>
        <family val="1"/>
      </rPr>
      <t>(</t>
    </r>
    <r>
      <rPr>
        <sz val="10"/>
        <rFont val="宋体"/>
        <family val="3"/>
        <charset val="134"/>
      </rPr>
      <t>元</t>
    </r>
    <r>
      <rPr>
        <sz val="10"/>
        <rFont val="Times New Roman"/>
        <family val="1"/>
      </rPr>
      <t>/m</t>
    </r>
    <r>
      <rPr>
        <vertAlign val="superscript"/>
        <sz val="10"/>
        <rFont val="Times New Roman"/>
        <family val="1"/>
      </rPr>
      <t>2</t>
    </r>
    <r>
      <rPr>
        <sz val="10"/>
        <rFont val="Times New Roman"/>
        <family val="1"/>
      </rPr>
      <t>)</t>
    </r>
    <phoneticPr fontId="6" type="noConversion"/>
  </si>
  <si>
    <t>权证编号</t>
    <phoneticPr fontId="6" type="noConversion"/>
  </si>
  <si>
    <t>建筑物名称</t>
    <phoneticPr fontId="6" type="noConversion"/>
  </si>
  <si>
    <t>位置</t>
    <phoneticPr fontId="6" type="noConversion"/>
  </si>
  <si>
    <t>开工年月</t>
    <phoneticPr fontId="6" type="noConversion"/>
  </si>
  <si>
    <t>计量单位</t>
    <phoneticPr fontId="22" type="noConversion"/>
  </si>
  <si>
    <r>
      <t>成本单价</t>
    </r>
    <r>
      <rPr>
        <sz val="10"/>
        <rFont val="Times New Roman"/>
        <family val="1"/>
      </rPr>
      <t>(</t>
    </r>
    <r>
      <rPr>
        <sz val="10"/>
        <rFont val="宋体"/>
        <family val="3"/>
        <charset val="134"/>
      </rPr>
      <t>元</t>
    </r>
    <r>
      <rPr>
        <sz val="10"/>
        <rFont val="Times New Roman"/>
        <family val="1"/>
      </rPr>
      <t>/m</t>
    </r>
    <r>
      <rPr>
        <vertAlign val="superscript"/>
        <sz val="10"/>
        <rFont val="Times New Roman"/>
        <family val="1"/>
      </rPr>
      <t>2</t>
    </r>
    <r>
      <rPr>
        <sz val="10"/>
        <rFont val="Times New Roman"/>
        <family val="1"/>
      </rPr>
      <t>)</t>
    </r>
    <phoneticPr fontId="6" type="noConversion"/>
  </si>
  <si>
    <t>5-1</t>
    <phoneticPr fontId="6" type="noConversion"/>
  </si>
  <si>
    <t>协议投资期限</t>
    <phoneticPr fontId="6" type="noConversion"/>
  </si>
  <si>
    <t>债券种类</t>
    <phoneticPr fontId="6" type="noConversion"/>
  </si>
  <si>
    <t>股票性质</t>
    <phoneticPr fontId="6" type="noConversion"/>
  </si>
  <si>
    <t>基准日市价</t>
    <phoneticPr fontId="6" type="noConversion"/>
  </si>
  <si>
    <t>项目及内容</t>
    <phoneticPr fontId="6" type="noConversion"/>
  </si>
  <si>
    <t>存放地点</t>
    <phoneticPr fontId="6" type="noConversion"/>
  </si>
  <si>
    <r>
      <t>1</t>
    </r>
    <r>
      <rPr>
        <sz val="10"/>
        <rFont val="宋体"/>
        <family val="3"/>
        <charset val="134"/>
      </rPr>
      <t>）正常，无需填写；</t>
    </r>
    <r>
      <rPr>
        <sz val="10"/>
        <rFont val="Times New Roman"/>
        <family val="1"/>
      </rPr>
      <t>2</t>
    </r>
    <r>
      <rPr>
        <sz val="10"/>
        <rFont val="宋体"/>
        <family val="3"/>
        <charset val="134"/>
      </rPr>
      <t>）残次，填</t>
    </r>
    <r>
      <rPr>
        <sz val="10"/>
        <rFont val="Times New Roman"/>
        <family val="1"/>
      </rPr>
      <t>“A”</t>
    </r>
    <r>
      <rPr>
        <sz val="10"/>
        <rFont val="宋体"/>
        <family val="3"/>
        <charset val="134"/>
      </rPr>
      <t>；</t>
    </r>
    <r>
      <rPr>
        <sz val="10"/>
        <rFont val="Times New Roman"/>
        <family val="1"/>
      </rPr>
      <t>3</t>
    </r>
    <r>
      <rPr>
        <sz val="10"/>
        <rFont val="宋体"/>
        <family val="3"/>
        <charset val="134"/>
      </rPr>
      <t>）变质，填</t>
    </r>
    <r>
      <rPr>
        <sz val="10"/>
        <rFont val="Times New Roman"/>
        <family val="1"/>
      </rPr>
      <t>“B”</t>
    </r>
    <r>
      <rPr>
        <sz val="10"/>
        <rFont val="宋体"/>
        <family val="3"/>
        <charset val="134"/>
      </rPr>
      <t>；</t>
    </r>
    <r>
      <rPr>
        <sz val="10"/>
        <rFont val="Times New Roman"/>
        <family val="1"/>
      </rPr>
      <t>4</t>
    </r>
    <r>
      <rPr>
        <sz val="10"/>
        <rFont val="宋体"/>
        <family val="3"/>
        <charset val="134"/>
      </rPr>
      <t>）毁损，填</t>
    </r>
    <r>
      <rPr>
        <sz val="10"/>
        <rFont val="Times New Roman"/>
        <family val="1"/>
      </rPr>
      <t>“C”</t>
    </r>
    <r>
      <rPr>
        <sz val="10"/>
        <rFont val="宋体"/>
        <family val="3"/>
        <charset val="134"/>
      </rPr>
      <t>；</t>
    </r>
    <r>
      <rPr>
        <sz val="10"/>
        <rFont val="Times New Roman"/>
        <family val="1"/>
      </rPr>
      <t>5</t>
    </r>
    <r>
      <rPr>
        <sz val="10"/>
        <rFont val="宋体"/>
        <family val="3"/>
        <charset val="134"/>
      </rPr>
      <t>）滞销，填</t>
    </r>
    <r>
      <rPr>
        <sz val="10"/>
        <rFont val="Times New Roman"/>
        <family val="1"/>
      </rPr>
      <t>“E”</t>
    </r>
    <r>
      <rPr>
        <sz val="10"/>
        <rFont val="宋体"/>
        <family val="3"/>
        <charset val="134"/>
      </rPr>
      <t>；</t>
    </r>
    <r>
      <rPr>
        <sz val="10"/>
        <rFont val="Times New Roman"/>
        <family val="1"/>
      </rPr>
      <t/>
    </r>
    <phoneticPr fontId="6" type="noConversion"/>
  </si>
  <si>
    <r>
      <t>6</t>
    </r>
    <r>
      <rPr>
        <sz val="10"/>
        <rFont val="宋体"/>
        <family val="3"/>
        <charset val="134"/>
      </rPr>
      <t>）积压，填</t>
    </r>
    <r>
      <rPr>
        <sz val="10"/>
        <rFont val="Times New Roman"/>
        <family val="1"/>
      </rPr>
      <t>“D”</t>
    </r>
    <r>
      <rPr>
        <sz val="10"/>
        <rFont val="宋体"/>
        <family val="3"/>
        <charset val="134"/>
      </rPr>
      <t>并在备注中填写已积压时间</t>
    </r>
    <r>
      <rPr>
        <sz val="10"/>
        <rFont val="Times New Roman"/>
        <family val="1"/>
      </rPr>
      <t>“1</t>
    </r>
    <r>
      <rPr>
        <sz val="10"/>
        <rFont val="宋体"/>
        <family val="3"/>
        <charset val="134"/>
      </rPr>
      <t>年以内</t>
    </r>
    <r>
      <rPr>
        <sz val="10"/>
        <rFont val="Times New Roman"/>
        <family val="1"/>
      </rPr>
      <t>”</t>
    </r>
    <r>
      <rPr>
        <sz val="10"/>
        <rFont val="宋体"/>
        <family val="3"/>
        <charset val="134"/>
      </rPr>
      <t>、</t>
    </r>
    <r>
      <rPr>
        <sz val="10"/>
        <rFont val="Times New Roman"/>
        <family val="1"/>
      </rPr>
      <t>“1~2</t>
    </r>
    <r>
      <rPr>
        <sz val="10"/>
        <rFont val="宋体"/>
        <family val="3"/>
        <charset val="134"/>
      </rPr>
      <t>年</t>
    </r>
    <r>
      <rPr>
        <sz val="10"/>
        <rFont val="Times New Roman"/>
        <family val="1"/>
      </rPr>
      <t>”</t>
    </r>
    <r>
      <rPr>
        <sz val="10"/>
        <rFont val="宋体"/>
        <family val="3"/>
        <charset val="134"/>
      </rPr>
      <t>、</t>
    </r>
    <r>
      <rPr>
        <sz val="10"/>
        <rFont val="Times New Roman"/>
        <family val="1"/>
      </rPr>
      <t>“2~3</t>
    </r>
    <r>
      <rPr>
        <sz val="10"/>
        <rFont val="宋体"/>
        <family val="3"/>
        <charset val="134"/>
      </rPr>
      <t>年</t>
    </r>
    <r>
      <rPr>
        <sz val="10"/>
        <rFont val="Times New Roman"/>
        <family val="1"/>
      </rPr>
      <t>”</t>
    </r>
    <r>
      <rPr>
        <sz val="10"/>
        <rFont val="宋体"/>
        <family val="3"/>
        <charset val="134"/>
      </rPr>
      <t>、</t>
    </r>
    <r>
      <rPr>
        <sz val="10"/>
        <rFont val="Times New Roman"/>
        <family val="1"/>
      </rPr>
      <t>“3</t>
    </r>
    <r>
      <rPr>
        <sz val="10"/>
        <rFont val="宋体"/>
        <family val="3"/>
        <charset val="134"/>
      </rPr>
      <t>年以上</t>
    </r>
    <r>
      <rPr>
        <sz val="10"/>
        <rFont val="Times New Roman"/>
        <family val="1"/>
      </rPr>
      <t>”</t>
    </r>
    <r>
      <rPr>
        <sz val="10"/>
        <rFont val="宋体"/>
        <family val="3"/>
        <charset val="134"/>
      </rPr>
      <t>；</t>
    </r>
    <r>
      <rPr>
        <sz val="10"/>
        <rFont val="Times New Roman"/>
        <family val="1"/>
      </rPr>
      <t>7</t>
    </r>
    <r>
      <rPr>
        <sz val="10"/>
        <rFont val="宋体"/>
        <family val="3"/>
        <charset val="134"/>
      </rPr>
      <t>）其他情形用文字表述。</t>
    </r>
    <phoneticPr fontId="6" type="noConversion"/>
  </si>
  <si>
    <t>加工单位名称</t>
    <phoneticPr fontId="6" type="noConversion"/>
  </si>
  <si>
    <r>
      <t>1~2</t>
    </r>
    <r>
      <rPr>
        <sz val="10"/>
        <rFont val="宋体"/>
        <family val="3"/>
        <charset val="134"/>
      </rPr>
      <t>年金额</t>
    </r>
    <phoneticPr fontId="6" type="noConversion"/>
  </si>
  <si>
    <r>
      <t>2~3</t>
    </r>
    <r>
      <rPr>
        <sz val="10"/>
        <rFont val="宋体"/>
        <family val="3"/>
        <charset val="134"/>
      </rPr>
      <t>年金额</t>
    </r>
    <phoneticPr fontId="6" type="noConversion"/>
  </si>
  <si>
    <r>
      <t>注</t>
    </r>
    <r>
      <rPr>
        <sz val="10"/>
        <rFont val="Times New Roman"/>
        <family val="1"/>
      </rPr>
      <t>1</t>
    </r>
    <r>
      <rPr>
        <sz val="10"/>
        <rFont val="宋体"/>
        <family val="3"/>
        <charset val="134"/>
      </rPr>
      <t>：</t>
    </r>
    <phoneticPr fontId="6" type="noConversion"/>
  </si>
  <si>
    <r>
      <t>1</t>
    </r>
    <r>
      <rPr>
        <sz val="10"/>
        <rFont val="宋体"/>
        <family val="3"/>
        <charset val="134"/>
      </rPr>
      <t>）欠款单位为关联方、总公司内部或本公司内部单位的，应在备注栏注明</t>
    </r>
    <r>
      <rPr>
        <sz val="10"/>
        <rFont val="Times New Roman"/>
        <family val="1"/>
      </rPr>
      <t>“</t>
    </r>
    <r>
      <rPr>
        <sz val="10"/>
        <rFont val="宋体"/>
        <family val="3"/>
        <charset val="134"/>
      </rPr>
      <t>关联方</t>
    </r>
    <r>
      <rPr>
        <sz val="10"/>
        <rFont val="Times New Roman"/>
        <family val="1"/>
      </rPr>
      <t>”</t>
    </r>
    <r>
      <rPr>
        <sz val="10"/>
        <rFont val="宋体"/>
        <family val="3"/>
        <charset val="134"/>
      </rPr>
      <t>、</t>
    </r>
    <r>
      <rPr>
        <sz val="10"/>
        <rFont val="Times New Roman"/>
        <family val="1"/>
      </rPr>
      <t>“</t>
    </r>
    <r>
      <rPr>
        <sz val="10"/>
        <rFont val="宋体"/>
        <family val="3"/>
        <charset val="134"/>
      </rPr>
      <t>总公司内部</t>
    </r>
    <r>
      <rPr>
        <sz val="10"/>
        <rFont val="Times New Roman"/>
        <family val="1"/>
      </rPr>
      <t>”</t>
    </r>
    <r>
      <rPr>
        <sz val="10"/>
        <rFont val="宋体"/>
        <family val="3"/>
        <charset val="134"/>
      </rPr>
      <t>、</t>
    </r>
    <r>
      <rPr>
        <sz val="10"/>
        <rFont val="Times New Roman"/>
        <family val="1"/>
      </rPr>
      <t>“</t>
    </r>
    <r>
      <rPr>
        <sz val="10"/>
        <rFont val="宋体"/>
        <family val="3"/>
        <charset val="134"/>
      </rPr>
      <t>内部单位</t>
    </r>
    <r>
      <rPr>
        <sz val="10"/>
        <rFont val="Times New Roman"/>
        <family val="1"/>
      </rPr>
      <t>”</t>
    </r>
    <r>
      <rPr>
        <sz val="10"/>
        <rFont val="宋体"/>
        <family val="3"/>
        <charset val="134"/>
      </rPr>
      <t>；</t>
    </r>
    <phoneticPr fontId="6" type="noConversion"/>
  </si>
  <si>
    <r>
      <t>2</t>
    </r>
    <r>
      <rPr>
        <sz val="10"/>
        <rFont val="宋体"/>
        <family val="3"/>
        <charset val="134"/>
      </rPr>
      <t>）</t>
    </r>
    <r>
      <rPr>
        <sz val="10"/>
        <rFont val="Times New Roman"/>
        <family val="1"/>
      </rPr>
      <t xml:space="preserve"> </t>
    </r>
    <r>
      <rPr>
        <sz val="10"/>
        <rFont val="宋体"/>
        <family val="3"/>
        <charset val="134"/>
      </rPr>
      <t>涉诉款项应在备注中标明</t>
    </r>
    <r>
      <rPr>
        <sz val="10"/>
        <rFont val="Times New Roman"/>
        <family val="1"/>
      </rPr>
      <t>“</t>
    </r>
    <r>
      <rPr>
        <sz val="10"/>
        <rFont val="宋体"/>
        <family val="3"/>
        <charset val="134"/>
      </rPr>
      <t>涉诉</t>
    </r>
    <r>
      <rPr>
        <sz val="10"/>
        <rFont val="Times New Roman"/>
        <family val="1"/>
      </rPr>
      <t>”</t>
    </r>
    <r>
      <rPr>
        <sz val="10"/>
        <rFont val="宋体"/>
        <family val="3"/>
        <charset val="134"/>
      </rPr>
      <t>；</t>
    </r>
    <phoneticPr fontId="6" type="noConversion"/>
  </si>
  <si>
    <r>
      <t>4</t>
    </r>
    <r>
      <rPr>
        <sz val="10"/>
        <rFont val="宋体"/>
        <family val="3"/>
        <charset val="134"/>
      </rPr>
      <t>）填表单位认为其他应说明的事项</t>
    </r>
    <phoneticPr fontId="6" type="noConversion"/>
  </si>
  <si>
    <r>
      <t>收款单位名称（结算对象</t>
    </r>
    <r>
      <rPr>
        <sz val="10"/>
        <rFont val="Times New Roman"/>
        <family val="1"/>
      </rPr>
      <t>)</t>
    </r>
    <phoneticPr fontId="6" type="noConversion"/>
  </si>
  <si>
    <t>本金</t>
    <phoneticPr fontId="6" type="noConversion"/>
  </si>
  <si>
    <t>利息所属期间</t>
    <phoneticPr fontId="6" type="noConversion"/>
  </si>
  <si>
    <r>
      <t>利息率</t>
    </r>
    <r>
      <rPr>
        <sz val="10"/>
        <rFont val="Times New Roman"/>
        <family val="1"/>
      </rPr>
      <t>%</t>
    </r>
    <phoneticPr fontId="6" type="noConversion"/>
  </si>
  <si>
    <t>股利所属期间</t>
    <phoneticPr fontId="6" type="noConversion"/>
  </si>
  <si>
    <r>
      <t>注</t>
    </r>
    <r>
      <rPr>
        <sz val="10"/>
        <rFont val="Times New Roman"/>
        <family val="1"/>
      </rPr>
      <t>2</t>
    </r>
    <r>
      <rPr>
        <sz val="10"/>
        <rFont val="宋体"/>
        <family val="3"/>
        <charset val="134"/>
      </rPr>
      <t>：</t>
    </r>
    <r>
      <rPr>
        <sz val="10"/>
        <rFont val="Times New Roman"/>
        <family val="1"/>
      </rPr>
      <t>“</t>
    </r>
    <r>
      <rPr>
        <sz val="10"/>
        <rFont val="宋体"/>
        <family val="3"/>
        <charset val="134"/>
      </rPr>
      <t>备注</t>
    </r>
    <r>
      <rPr>
        <sz val="10"/>
        <rFont val="Times New Roman"/>
        <family val="1"/>
      </rPr>
      <t>”</t>
    </r>
    <r>
      <rPr>
        <sz val="10"/>
        <rFont val="宋体"/>
        <family val="3"/>
        <charset val="134"/>
      </rPr>
      <t>栏填写方法：</t>
    </r>
    <r>
      <rPr>
        <sz val="10"/>
        <rFont val="Times New Roman"/>
        <family val="1"/>
      </rPr>
      <t/>
    </r>
    <phoneticPr fontId="6" type="noConversion"/>
  </si>
  <si>
    <t>出票日期</t>
    <phoneticPr fontId="6" type="noConversion"/>
  </si>
  <si>
    <t>到期日期</t>
    <phoneticPr fontId="6" type="noConversion"/>
  </si>
  <si>
    <r>
      <t>基准日收盘价</t>
    </r>
    <r>
      <rPr>
        <sz val="10"/>
        <rFont val="Times New Roman"/>
        <family val="1"/>
      </rPr>
      <t>/</t>
    </r>
    <r>
      <rPr>
        <sz val="10"/>
        <rFont val="宋体"/>
        <family val="3"/>
        <charset val="134"/>
      </rPr>
      <t>股</t>
    </r>
    <phoneticPr fontId="6" type="noConversion"/>
  </si>
  <si>
    <t>基本情况表</t>
    <phoneticPr fontId="6" type="noConversion"/>
  </si>
  <si>
    <t>发生日期</t>
  </si>
  <si>
    <t>账面价值</t>
  </si>
  <si>
    <t>评估价值</t>
  </si>
  <si>
    <t>债券发行单位</t>
    <phoneticPr fontId="41" type="noConversion"/>
  </si>
  <si>
    <t>债券种类</t>
    <phoneticPr fontId="41" type="noConversion"/>
  </si>
  <si>
    <t>到期日</t>
    <phoneticPr fontId="41" type="noConversion"/>
  </si>
  <si>
    <r>
      <t xml:space="preserve"> </t>
    </r>
    <r>
      <rPr>
        <sz val="10"/>
        <rFont val="宋体"/>
        <family val="3"/>
        <charset val="134"/>
      </rPr>
      <t>备</t>
    </r>
    <r>
      <rPr>
        <sz val="10"/>
        <rFont val="Times New Roman"/>
        <family val="1"/>
      </rPr>
      <t xml:space="preserve"> </t>
    </r>
    <r>
      <rPr>
        <sz val="10"/>
        <rFont val="宋体"/>
        <family val="3"/>
        <charset val="134"/>
      </rPr>
      <t>注</t>
    </r>
  </si>
  <si>
    <t>分类汇总表</t>
    <phoneticPr fontId="6" type="noConversion"/>
  </si>
  <si>
    <t>尚可使用
年限</t>
    <phoneticPr fontId="6" type="noConversion"/>
  </si>
  <si>
    <t>计量
单位</t>
    <phoneticPr fontId="6" type="noConversion"/>
  </si>
  <si>
    <t>设备
编号</t>
    <phoneticPr fontId="6" type="noConversion"/>
  </si>
  <si>
    <t>车辆名称
及规格型号</t>
    <phoneticPr fontId="6" type="noConversion"/>
  </si>
  <si>
    <t>建成
年月</t>
    <phoneticPr fontId="6" type="noConversion"/>
  </si>
  <si>
    <t xml:space="preserve">返回 </t>
    <phoneticPr fontId="6" type="noConversion"/>
  </si>
  <si>
    <t>开工
日期</t>
    <phoneticPr fontId="6" type="noConversion"/>
  </si>
  <si>
    <t>预计完
工日期</t>
    <phoneticPr fontId="6" type="noConversion"/>
  </si>
  <si>
    <r>
      <t>合</t>
    </r>
    <r>
      <rPr>
        <sz val="10"/>
        <rFont val="Times New Roman"/>
        <family val="1"/>
      </rPr>
      <t xml:space="preserve">                    </t>
    </r>
    <r>
      <rPr>
        <sz val="10"/>
        <rFont val="宋体"/>
        <family val="3"/>
        <charset val="134"/>
      </rPr>
      <t>计</t>
    </r>
    <phoneticPr fontId="6" type="noConversion"/>
  </si>
  <si>
    <r>
      <t xml:space="preserve">长度
</t>
    </r>
    <r>
      <rPr>
        <sz val="10"/>
        <rFont val="Times New Roman"/>
        <family val="1"/>
      </rPr>
      <t>(m)</t>
    </r>
    <phoneticPr fontId="6" type="noConversion"/>
  </si>
  <si>
    <r>
      <t xml:space="preserve">漕深
</t>
    </r>
    <r>
      <rPr>
        <sz val="10"/>
        <rFont val="Times New Roman"/>
        <family val="1"/>
      </rPr>
      <t>(m)</t>
    </r>
    <phoneticPr fontId="6" type="noConversion"/>
  </si>
  <si>
    <r>
      <t xml:space="preserve">宽度
</t>
    </r>
    <r>
      <rPr>
        <sz val="10"/>
        <rFont val="Times New Roman"/>
        <family val="1"/>
      </rPr>
      <t>(m)</t>
    </r>
    <phoneticPr fontId="6" type="noConversion"/>
  </si>
  <si>
    <r>
      <t>建筑</t>
    </r>
    <r>
      <rPr>
        <sz val="10"/>
        <rFont val="Times New Roman"/>
        <family val="1"/>
      </rPr>
      <t xml:space="preserve">          </t>
    </r>
    <r>
      <rPr>
        <sz val="10"/>
        <rFont val="宋体"/>
        <family val="3"/>
        <charset val="134"/>
      </rPr>
      <t>面积</t>
    </r>
    <r>
      <rPr>
        <sz val="10"/>
        <rFont val="Times New Roman"/>
        <family val="1"/>
      </rPr>
      <t>/</t>
    </r>
    <r>
      <rPr>
        <sz val="10"/>
        <rFont val="宋体"/>
        <family val="3"/>
        <charset val="134"/>
      </rPr>
      <t>容积</t>
    </r>
    <phoneticPr fontId="22" type="noConversion"/>
  </si>
  <si>
    <t>存款</t>
    <phoneticPr fontId="6" type="noConversion"/>
  </si>
  <si>
    <t>他币）</t>
    <phoneticPr fontId="6" type="noConversion"/>
  </si>
  <si>
    <t>3-2</t>
    <phoneticPr fontId="6" type="noConversion"/>
  </si>
  <si>
    <t>增值率%</t>
    <phoneticPr fontId="6" type="noConversion"/>
  </si>
  <si>
    <t>注明账齡在一年以上的账款的可收回性，若有部分可能不能收回，请估计不能收回的金額，以供评估时作參考。</t>
  </si>
  <si>
    <t>应付账款</t>
  </si>
  <si>
    <t>原始入账价值</t>
  </si>
  <si>
    <t>外币账面金额</t>
  </si>
  <si>
    <t>账号</t>
  </si>
  <si>
    <t>应收账款</t>
  </si>
  <si>
    <t>预付账款</t>
  </si>
  <si>
    <t>账面调整值</t>
  </si>
  <si>
    <t>财务结账日</t>
  </si>
  <si>
    <t>如有债权、债务性资产的未达、坏账及实物性资产的毁损、报废等的项目应在其备注中说明；</t>
  </si>
  <si>
    <t>账龄</t>
    <phoneticPr fontId="6" type="noConversion"/>
  </si>
  <si>
    <t>金额单位：人民币元</t>
    <phoneticPr fontId="6" type="noConversion"/>
  </si>
  <si>
    <t>编号</t>
    <phoneticPr fontId="6" type="noConversion"/>
  </si>
  <si>
    <t>科目名称</t>
    <phoneticPr fontId="6" type="noConversion"/>
  </si>
  <si>
    <t>评估价值</t>
    <phoneticPr fontId="6" type="noConversion"/>
  </si>
  <si>
    <t>增值额</t>
    <phoneticPr fontId="6" type="noConversion"/>
  </si>
  <si>
    <r>
      <t>增值率</t>
    </r>
    <r>
      <rPr>
        <sz val="10"/>
        <rFont val="Times New Roman"/>
        <family val="1"/>
      </rPr>
      <t>%</t>
    </r>
    <phoneticPr fontId="6" type="noConversion"/>
  </si>
  <si>
    <t>原材料</t>
    <phoneticPr fontId="6" type="noConversion"/>
  </si>
  <si>
    <t>存货合计</t>
    <phoneticPr fontId="6" type="noConversion"/>
  </si>
  <si>
    <t>减：存货跌价准备</t>
    <phoneticPr fontId="6" type="noConversion"/>
  </si>
  <si>
    <t>存货净额</t>
    <phoneticPr fontId="6" type="noConversion"/>
  </si>
  <si>
    <t>注1：</t>
    <phoneticPr fontId="6" type="noConversion"/>
  </si>
  <si>
    <t>商品名称</t>
    <phoneticPr fontId="6" type="noConversion"/>
  </si>
  <si>
    <t>对方单位名称</t>
    <phoneticPr fontId="6" type="noConversion"/>
  </si>
  <si>
    <t>金额单位：人民币元</t>
    <phoneticPr fontId="6" type="noConversion"/>
  </si>
  <si>
    <t>评估价值</t>
    <phoneticPr fontId="6" type="noConversion"/>
  </si>
  <si>
    <r>
      <t>增值率</t>
    </r>
    <r>
      <rPr>
        <sz val="10"/>
        <rFont val="Times New Roman"/>
        <family val="1"/>
      </rPr>
      <t>%</t>
    </r>
    <phoneticPr fontId="6" type="noConversion"/>
  </si>
  <si>
    <t>3-10</t>
    <phoneticPr fontId="6" type="noConversion"/>
  </si>
  <si>
    <t>编号</t>
    <phoneticPr fontId="6" type="noConversion"/>
  </si>
  <si>
    <t>科目名称</t>
    <phoneticPr fontId="6" type="noConversion"/>
  </si>
  <si>
    <t>增值额</t>
    <phoneticPr fontId="6" type="noConversion"/>
  </si>
  <si>
    <t>4</t>
    <phoneticPr fontId="6" type="noConversion"/>
  </si>
  <si>
    <t>序号</t>
    <phoneticPr fontId="6" type="noConversion"/>
  </si>
  <si>
    <t>费用名称或内容</t>
    <phoneticPr fontId="6" type="noConversion"/>
  </si>
  <si>
    <t>形成日期</t>
    <phoneticPr fontId="6" type="noConversion"/>
  </si>
  <si>
    <t>原始发生额</t>
    <phoneticPr fontId="6" type="noConversion"/>
  </si>
  <si>
    <t>预计摊
销月数</t>
    <phoneticPr fontId="6" type="noConversion"/>
  </si>
  <si>
    <t>尚存受
益月数</t>
    <phoneticPr fontId="6" type="noConversion"/>
  </si>
  <si>
    <t>备注</t>
    <phoneticPr fontId="6" type="noConversion"/>
  </si>
  <si>
    <t>流动负债合计</t>
    <phoneticPr fontId="6" type="noConversion"/>
  </si>
  <si>
    <t>9</t>
    <phoneticPr fontId="6" type="noConversion"/>
  </si>
  <si>
    <r>
      <t>户名（结算对象</t>
    </r>
    <r>
      <rPr>
        <sz val="10"/>
        <rFont val="Times New Roman"/>
        <family val="1"/>
      </rPr>
      <t>)</t>
    </r>
    <phoneticPr fontId="6" type="noConversion"/>
  </si>
  <si>
    <t>发生日期</t>
    <phoneticPr fontId="6" type="noConversion"/>
  </si>
  <si>
    <t>业务内容</t>
    <phoneticPr fontId="6" type="noConversion"/>
  </si>
  <si>
    <t>结算内容</t>
    <phoneticPr fontId="6" type="noConversion"/>
  </si>
  <si>
    <t>放款银行或机构名称</t>
    <phoneticPr fontId="6" type="noConversion"/>
  </si>
  <si>
    <t>到期日</t>
    <phoneticPr fontId="6" type="noConversion"/>
  </si>
  <si>
    <t>币种</t>
    <phoneticPr fontId="6" type="noConversion"/>
  </si>
  <si>
    <t>外币金额</t>
    <phoneticPr fontId="6" type="noConversion"/>
  </si>
  <si>
    <t>外币基准日汇率</t>
    <phoneticPr fontId="6" type="noConversion"/>
  </si>
  <si>
    <t>票面利率%</t>
    <phoneticPr fontId="41" type="noConversion"/>
  </si>
  <si>
    <t>户名（或结算对象）</t>
    <phoneticPr fontId="6" type="noConversion"/>
  </si>
  <si>
    <r>
      <t xml:space="preserve"> </t>
    </r>
    <r>
      <rPr>
        <sz val="10"/>
        <rFont val="宋体"/>
        <family val="3"/>
        <charset val="134"/>
      </rPr>
      <t>备</t>
    </r>
    <r>
      <rPr>
        <sz val="10"/>
        <rFont val="Times New Roman"/>
        <family val="1"/>
      </rPr>
      <t xml:space="preserve"> </t>
    </r>
    <r>
      <rPr>
        <sz val="10"/>
        <rFont val="宋体"/>
        <family val="3"/>
        <charset val="134"/>
      </rPr>
      <t>注</t>
    </r>
    <phoneticPr fontId="6" type="noConversion"/>
  </si>
  <si>
    <t>内容</t>
    <phoneticPr fontId="6" type="noConversion"/>
  </si>
  <si>
    <t>请贵单位填表人员按要求对工作表中账面价值及其以左各栏次或项目据实填写</t>
    <phoneticPr fontId="6" type="noConversion"/>
  </si>
  <si>
    <t>（此外，应收账款、其他应收款还需要填写账龄分析内容）；</t>
    <phoneticPr fontId="6" type="noConversion"/>
  </si>
  <si>
    <r>
      <t>如明细表的行数不够时，请填表人员在</t>
    </r>
    <r>
      <rPr>
        <b/>
        <sz val="12"/>
        <color indexed="10"/>
        <rFont val="Times New Roman"/>
        <family val="1"/>
      </rPr>
      <t>“</t>
    </r>
    <r>
      <rPr>
        <b/>
        <sz val="12"/>
        <color indexed="10"/>
        <rFont val="仿宋_GB2312"/>
        <family val="3"/>
        <charset val="134"/>
      </rPr>
      <t>合计</t>
    </r>
    <r>
      <rPr>
        <b/>
        <sz val="12"/>
        <color indexed="10"/>
        <rFont val="Times New Roman"/>
        <family val="1"/>
      </rPr>
      <t>”</t>
    </r>
    <r>
      <rPr>
        <b/>
        <sz val="12"/>
        <color indexed="10"/>
        <rFont val="仿宋_GB2312"/>
        <family val="3"/>
        <charset val="134"/>
      </rPr>
      <t>的上两行</t>
    </r>
    <r>
      <rPr>
        <sz val="12"/>
        <rFont val="仿宋_GB2312"/>
        <family val="3"/>
        <charset val="134"/>
      </rPr>
      <t>进行插入行。</t>
    </r>
    <phoneticPr fontId="6" type="noConversion"/>
  </si>
  <si>
    <r>
      <t>填表人可通过点击各汇总表中的</t>
    </r>
    <r>
      <rPr>
        <sz val="12"/>
        <rFont val="Times New Roman"/>
        <family val="1"/>
      </rPr>
      <t>“</t>
    </r>
    <r>
      <rPr>
        <sz val="12"/>
        <rFont val="仿宋_GB2312"/>
        <family val="3"/>
        <charset val="134"/>
      </rPr>
      <t>科目名称</t>
    </r>
    <r>
      <rPr>
        <sz val="12"/>
        <rFont val="Times New Roman"/>
        <family val="1"/>
      </rPr>
      <t>”</t>
    </r>
    <r>
      <rPr>
        <sz val="12"/>
        <rFont val="仿宋_GB2312"/>
        <family val="3"/>
        <charset val="134"/>
      </rPr>
      <t>进入各明细表，再通过点击各工作表左上角的</t>
    </r>
    <r>
      <rPr>
        <sz val="12"/>
        <rFont val="Times New Roman"/>
        <family val="1"/>
      </rPr>
      <t>“</t>
    </r>
    <r>
      <rPr>
        <sz val="12"/>
        <rFont val="仿宋_GB2312"/>
        <family val="3"/>
        <charset val="134"/>
      </rPr>
      <t>返回</t>
    </r>
    <r>
      <rPr>
        <sz val="12"/>
        <rFont val="Times New Roman"/>
        <family val="1"/>
      </rPr>
      <t>”</t>
    </r>
    <r>
      <rPr>
        <sz val="12"/>
        <rFont val="仿宋_GB2312"/>
        <family val="3"/>
        <charset val="134"/>
      </rPr>
      <t>来返回上一级汇总表。</t>
    </r>
    <phoneticPr fontId="6" type="noConversion"/>
  </si>
  <si>
    <t>核心提示：不适用的工作表可以隐藏，但不可删除！</t>
    <phoneticPr fontId="6" type="noConversion"/>
  </si>
  <si>
    <t>工作表标签不能更改！</t>
    <phoneticPr fontId="6" type="noConversion"/>
  </si>
  <si>
    <t>前注册会计师审计结论</t>
    <phoneticPr fontId="6" type="noConversion"/>
  </si>
  <si>
    <t>前五名投资者（股东）名称</t>
    <phoneticPr fontId="6" type="noConversion"/>
  </si>
  <si>
    <t>主要长期投资单位（或异地分支机构）名称</t>
    <phoneticPr fontId="6" type="noConversion"/>
  </si>
  <si>
    <r>
      <t>填表日期</t>
    </r>
    <r>
      <rPr>
        <b/>
        <sz val="10"/>
        <color indexed="10"/>
        <rFont val="Times New Roman"/>
        <family val="1"/>
      </rPr>
      <t/>
    </r>
    <phoneticPr fontId="6" type="noConversion"/>
  </si>
  <si>
    <t>企业填写以下内容:</t>
    <phoneticPr fontId="6" type="noConversion"/>
  </si>
  <si>
    <t>评估机构填写以下内容:</t>
    <phoneticPr fontId="6" type="noConversion"/>
  </si>
  <si>
    <r>
      <t>资产占有单位填表人</t>
    </r>
    <r>
      <rPr>
        <b/>
        <sz val="10"/>
        <rFont val="Times New Roman"/>
        <family val="1"/>
      </rPr>
      <t>:</t>
    </r>
    <phoneticPr fontId="6" type="noConversion"/>
  </si>
  <si>
    <r>
      <t>评估人员</t>
    </r>
    <r>
      <rPr>
        <b/>
        <sz val="10"/>
        <rFont val="Times New Roman"/>
        <family val="1"/>
      </rPr>
      <t>:</t>
    </r>
  </si>
  <si>
    <t>资产负债表</t>
    <phoneticPr fontId="6" type="noConversion"/>
  </si>
  <si>
    <t>评估申报表说明（填表前请先阅读）</t>
    <phoneticPr fontId="6" type="noConversion"/>
  </si>
  <si>
    <t>返回</t>
    <phoneticPr fontId="6" type="noConversion"/>
  </si>
  <si>
    <r>
      <t>返回</t>
    </r>
    <r>
      <rPr>
        <u/>
        <sz val="10"/>
        <color indexed="12"/>
        <rFont val="Times New Roman"/>
        <family val="1"/>
      </rPr>
      <t xml:space="preserve"> </t>
    </r>
    <phoneticPr fontId="6" type="noConversion"/>
  </si>
  <si>
    <t>专项应付款</t>
    <phoneticPr fontId="6" type="noConversion"/>
  </si>
  <si>
    <t>流动资产合计</t>
    <phoneticPr fontId="6" type="noConversion"/>
  </si>
  <si>
    <t>负债及所有者权益合计</t>
    <phoneticPr fontId="6" type="noConversion"/>
  </si>
  <si>
    <t>投资单位名称（股东）</t>
    <phoneticPr fontId="6" type="noConversion"/>
  </si>
  <si>
    <t>对应土地证号</t>
    <phoneticPr fontId="6" type="noConversion"/>
  </si>
  <si>
    <t>比例（％）</t>
    <phoneticPr fontId="6" type="noConversion"/>
  </si>
  <si>
    <t>减：评估风险损失</t>
    <phoneticPr fontId="6" type="noConversion"/>
  </si>
  <si>
    <r>
      <t>净</t>
    </r>
    <r>
      <rPr>
        <sz val="10"/>
        <rFont val="Times New Roman"/>
        <family val="1"/>
      </rPr>
      <t xml:space="preserve">            </t>
    </r>
    <r>
      <rPr>
        <sz val="10"/>
        <rFont val="宋体"/>
        <family val="3"/>
        <charset val="134"/>
      </rPr>
      <t>额</t>
    </r>
    <phoneticPr fontId="6" type="noConversion"/>
  </si>
  <si>
    <t>减：坏账准备</t>
    <phoneticPr fontId="6" type="noConversion"/>
  </si>
  <si>
    <t>差异</t>
  </si>
  <si>
    <t>审定数</t>
  </si>
  <si>
    <t>企业报表数</t>
    <phoneticPr fontId="6" type="noConversion"/>
  </si>
  <si>
    <t>证载权利人</t>
    <phoneticPr fontId="6" type="noConversion"/>
  </si>
  <si>
    <r>
      <t>持股比例</t>
    </r>
    <r>
      <rPr>
        <sz val="10"/>
        <rFont val="Times New Roman"/>
        <family val="1"/>
      </rPr>
      <t>%</t>
    </r>
    <phoneticPr fontId="6" type="noConversion"/>
  </si>
  <si>
    <r>
      <t>票面利率</t>
    </r>
    <r>
      <rPr>
        <sz val="10"/>
        <rFont val="Times New Roman"/>
        <family val="1"/>
      </rPr>
      <t>%</t>
    </r>
    <phoneticPr fontId="6" type="noConversion"/>
  </si>
  <si>
    <t>审计前账面值</t>
  </si>
  <si>
    <t>审计前账面值</t>
    <phoneticPr fontId="6" type="noConversion"/>
  </si>
  <si>
    <t>交易性金融资产</t>
  </si>
  <si>
    <t>交易性金融资产</t>
    <phoneticPr fontId="6" type="noConversion"/>
  </si>
  <si>
    <t>应收账款</t>
    <phoneticPr fontId="6" type="noConversion"/>
  </si>
  <si>
    <t>一年内到期的非流动资产</t>
  </si>
  <si>
    <t>一年内到期的非流动资产</t>
    <phoneticPr fontId="6" type="noConversion"/>
  </si>
  <si>
    <t>预付款项</t>
    <phoneticPr fontId="6" type="noConversion"/>
  </si>
  <si>
    <t>二、非流动资产合计</t>
    <phoneticPr fontId="6" type="noConversion"/>
  </si>
  <si>
    <t>长期应收款</t>
  </si>
  <si>
    <t>可供出售金融资产</t>
    <phoneticPr fontId="6" type="noConversion"/>
  </si>
  <si>
    <t>持有至到期投资</t>
    <phoneticPr fontId="6" type="noConversion"/>
  </si>
  <si>
    <t>长期应收款</t>
    <phoneticPr fontId="6" type="noConversion"/>
  </si>
  <si>
    <t>长期股权投资</t>
    <phoneticPr fontId="6" type="noConversion"/>
  </si>
  <si>
    <t>投资性房地产</t>
    <phoneticPr fontId="6" type="noConversion"/>
  </si>
  <si>
    <t>生产性生物资产</t>
  </si>
  <si>
    <t>油气资产</t>
  </si>
  <si>
    <t>无形资产</t>
  </si>
  <si>
    <t>开发支出</t>
  </si>
  <si>
    <t>商誉</t>
  </si>
  <si>
    <t>递延所得税资产</t>
  </si>
  <si>
    <t>其他非流动资产</t>
  </si>
  <si>
    <t>三、资产总计</t>
    <phoneticPr fontId="6" type="noConversion"/>
  </si>
  <si>
    <t>四、流动负债合计</t>
    <phoneticPr fontId="6" type="noConversion"/>
  </si>
  <si>
    <t>交易性金融负债</t>
  </si>
  <si>
    <t>预收款项</t>
  </si>
  <si>
    <t>应付职工薪酬</t>
  </si>
  <si>
    <t>应交税费</t>
    <phoneticPr fontId="6" type="noConversion"/>
  </si>
  <si>
    <t>应付股利</t>
    <phoneticPr fontId="6" type="noConversion"/>
  </si>
  <si>
    <t>一年内到期的非流动负债</t>
    <phoneticPr fontId="6" type="noConversion"/>
  </si>
  <si>
    <t>递延所得税负债</t>
    <phoneticPr fontId="6" type="noConversion"/>
  </si>
  <si>
    <t>其他非流动负债</t>
    <phoneticPr fontId="6" type="noConversion"/>
  </si>
  <si>
    <t>六、负债总计</t>
    <phoneticPr fontId="6" type="noConversion"/>
  </si>
  <si>
    <t>差异</t>
    <phoneticPr fontId="6" type="noConversion"/>
  </si>
  <si>
    <t>五、非流动负债合计</t>
    <phoneticPr fontId="6" type="noConversion"/>
  </si>
  <si>
    <t>应收利息</t>
  </si>
  <si>
    <t>其他流动资产</t>
  </si>
  <si>
    <t>交易性金融资产合计</t>
  </si>
  <si>
    <t>3-2-3</t>
  </si>
  <si>
    <t>基金发行单位</t>
    <phoneticPr fontId="6" type="noConversion"/>
  </si>
  <si>
    <t>基金名称</t>
    <phoneticPr fontId="6" type="noConversion"/>
  </si>
  <si>
    <t>基金份额</t>
    <phoneticPr fontId="6" type="noConversion"/>
  </si>
  <si>
    <t>基金类型</t>
    <phoneticPr fontId="6" type="noConversion"/>
  </si>
  <si>
    <r>
      <t>基准日净值</t>
    </r>
    <r>
      <rPr>
        <sz val="10"/>
        <rFont val="Times New Roman"/>
        <family val="1"/>
      </rPr>
      <t>/</t>
    </r>
    <r>
      <rPr>
        <sz val="10"/>
        <rFont val="宋体"/>
        <family val="3"/>
        <charset val="134"/>
      </rPr>
      <t>份</t>
    </r>
    <phoneticPr fontId="6" type="noConversion"/>
  </si>
  <si>
    <t>交易性金融资产-基金投资</t>
    <phoneticPr fontId="6" type="noConversion"/>
  </si>
  <si>
    <t>资产减值准备</t>
    <phoneticPr fontId="6" type="noConversion"/>
  </si>
  <si>
    <t>坏账准备</t>
    <phoneticPr fontId="6" type="noConversion"/>
  </si>
  <si>
    <t>一</t>
    <phoneticPr fontId="6" type="noConversion"/>
  </si>
  <si>
    <t>存货跌价准备</t>
    <phoneticPr fontId="6" type="noConversion"/>
  </si>
  <si>
    <t>其他</t>
    <phoneticPr fontId="6" type="noConversion"/>
  </si>
  <si>
    <t>在建工程</t>
    <phoneticPr fontId="6" type="noConversion"/>
  </si>
  <si>
    <t>可供出售金融资产减值准备</t>
    <phoneticPr fontId="6" type="noConversion"/>
  </si>
  <si>
    <t>持有至到期投资减值准备</t>
    <phoneticPr fontId="6" type="noConversion"/>
  </si>
  <si>
    <t>长期股权投资减值准备</t>
    <phoneticPr fontId="6" type="noConversion"/>
  </si>
  <si>
    <t>投资性房地产减值准备</t>
    <phoneticPr fontId="6" type="noConversion"/>
  </si>
  <si>
    <t>固定资产减值准备</t>
    <phoneticPr fontId="6" type="noConversion"/>
  </si>
  <si>
    <t>在建工程减值准备</t>
    <phoneticPr fontId="6" type="noConversion"/>
  </si>
  <si>
    <t>工程物资减值准备</t>
    <phoneticPr fontId="6" type="noConversion"/>
  </si>
  <si>
    <t>生产性生物资产减值准备</t>
    <phoneticPr fontId="6" type="noConversion"/>
  </si>
  <si>
    <t>其中：成熟生产性生物资产</t>
    <phoneticPr fontId="6" type="noConversion"/>
  </si>
  <si>
    <t>油气资产减值准备</t>
    <phoneticPr fontId="6" type="noConversion"/>
  </si>
  <si>
    <t>无形资产减值准备</t>
    <phoneticPr fontId="6" type="noConversion"/>
  </si>
  <si>
    <t>商誉减值准备</t>
    <phoneticPr fontId="6" type="noConversion"/>
  </si>
  <si>
    <t>二</t>
  </si>
  <si>
    <t>三</t>
  </si>
  <si>
    <t>四</t>
  </si>
  <si>
    <t>五</t>
  </si>
  <si>
    <t>六</t>
  </si>
  <si>
    <t>七</t>
    <phoneticPr fontId="6" type="noConversion"/>
  </si>
  <si>
    <t>八</t>
    <phoneticPr fontId="6" type="noConversion"/>
  </si>
  <si>
    <t>九</t>
    <phoneticPr fontId="6" type="noConversion"/>
  </si>
  <si>
    <t>十</t>
    <phoneticPr fontId="6" type="noConversion"/>
  </si>
  <si>
    <t>十一</t>
    <phoneticPr fontId="6" type="noConversion"/>
  </si>
  <si>
    <t>十二</t>
    <phoneticPr fontId="6" type="noConversion"/>
  </si>
  <si>
    <t>十三</t>
    <phoneticPr fontId="6" type="noConversion"/>
  </si>
  <si>
    <t>十四</t>
    <phoneticPr fontId="6" type="noConversion"/>
  </si>
  <si>
    <t>长期待摊费用</t>
    <phoneticPr fontId="6" type="noConversion"/>
  </si>
  <si>
    <t>应付利息</t>
    <phoneticPr fontId="6" type="noConversion"/>
  </si>
  <si>
    <t>预计负债</t>
    <phoneticPr fontId="6" type="noConversion"/>
  </si>
  <si>
    <t>实物资产（万元）</t>
    <phoneticPr fontId="6" type="noConversion"/>
  </si>
  <si>
    <t>应收股利（应收利润）</t>
    <phoneticPr fontId="6" type="noConversion"/>
  </si>
  <si>
    <t>3-9-1</t>
    <phoneticPr fontId="6" type="noConversion"/>
  </si>
  <si>
    <t>3-9-2</t>
  </si>
  <si>
    <t>3-9-3</t>
  </si>
  <si>
    <t>3-9-4</t>
  </si>
  <si>
    <t>3-9-5</t>
  </si>
  <si>
    <t>3-9-6</t>
  </si>
  <si>
    <t>3-9-7</t>
  </si>
  <si>
    <t>3-9-8</t>
  </si>
  <si>
    <t>材料采购（在途物资）</t>
    <phoneticPr fontId="6" type="noConversion"/>
  </si>
  <si>
    <t>发出商品</t>
  </si>
  <si>
    <t>委托加工物资</t>
  </si>
  <si>
    <t>在库周转材料</t>
    <phoneticPr fontId="6" type="noConversion"/>
  </si>
  <si>
    <t>在用周转材料</t>
    <phoneticPr fontId="6" type="noConversion"/>
  </si>
  <si>
    <t>预付账款</t>
    <phoneticPr fontId="6" type="noConversion"/>
  </si>
  <si>
    <t>其中：应收账款</t>
    <phoneticPr fontId="6" type="noConversion"/>
  </si>
  <si>
    <t>可供出售金融资产-股票投资</t>
  </si>
  <si>
    <t>可供出售金融资产-债券投资</t>
  </si>
  <si>
    <t>可供出售金融资产-其他投资</t>
  </si>
  <si>
    <t>可供出售金融资产合计</t>
  </si>
  <si>
    <t>减：可供出售金融资产减值准备</t>
  </si>
  <si>
    <t>可供出售金融资产净额</t>
  </si>
  <si>
    <t>金额单位：人民币元</t>
    <phoneticPr fontId="6" type="noConversion"/>
  </si>
  <si>
    <t>序号</t>
    <phoneticPr fontId="6" type="noConversion"/>
  </si>
  <si>
    <t>被投资单位名称</t>
    <phoneticPr fontId="6" type="noConversion"/>
  </si>
  <si>
    <t>评估价值</t>
    <phoneticPr fontId="6" type="noConversion"/>
  </si>
  <si>
    <r>
      <t>增值率</t>
    </r>
    <r>
      <rPr>
        <sz val="10"/>
        <rFont val="Times New Roman"/>
        <family val="1"/>
      </rPr>
      <t>%</t>
    </r>
    <phoneticPr fontId="6" type="noConversion"/>
  </si>
  <si>
    <t>备注</t>
    <phoneticPr fontId="6" type="noConversion"/>
  </si>
  <si>
    <r>
      <t>合</t>
    </r>
    <r>
      <rPr>
        <sz val="10"/>
        <rFont val="Times New Roman"/>
        <family val="1"/>
      </rPr>
      <t xml:space="preserve">            </t>
    </r>
    <r>
      <rPr>
        <sz val="10"/>
        <rFont val="宋体"/>
        <family val="3"/>
        <charset val="134"/>
      </rPr>
      <t>计</t>
    </r>
    <phoneticPr fontId="6" type="noConversion"/>
  </si>
  <si>
    <t>投资日期</t>
    <phoneticPr fontId="6" type="noConversion"/>
  </si>
  <si>
    <t>基准日市价</t>
    <phoneticPr fontId="6" type="noConversion"/>
  </si>
  <si>
    <t>金融资产名称</t>
    <phoneticPr fontId="6" type="noConversion"/>
  </si>
  <si>
    <t>持有数量</t>
    <phoneticPr fontId="6" type="noConversion"/>
  </si>
  <si>
    <t>4-1-1</t>
    <phoneticPr fontId="6" type="noConversion"/>
  </si>
  <si>
    <t>4-1-2</t>
  </si>
  <si>
    <t>4-1-3</t>
  </si>
  <si>
    <t>金额单位：人民币元</t>
    <phoneticPr fontId="6" type="noConversion"/>
  </si>
  <si>
    <t>序号</t>
    <phoneticPr fontId="6" type="noConversion"/>
  </si>
  <si>
    <t>被投资单位名称</t>
    <phoneticPr fontId="6" type="noConversion"/>
  </si>
  <si>
    <t>到期日</t>
    <phoneticPr fontId="6" type="noConversion"/>
  </si>
  <si>
    <r>
      <t>票面利率</t>
    </r>
    <r>
      <rPr>
        <sz val="10"/>
        <rFont val="Times New Roman"/>
        <family val="1"/>
      </rPr>
      <t>%</t>
    </r>
    <phoneticPr fontId="6" type="noConversion"/>
  </si>
  <si>
    <t>评估价值</t>
    <phoneticPr fontId="6" type="noConversion"/>
  </si>
  <si>
    <r>
      <t>增值率</t>
    </r>
    <r>
      <rPr>
        <sz val="10"/>
        <rFont val="Times New Roman"/>
        <family val="1"/>
      </rPr>
      <t>%</t>
    </r>
    <phoneticPr fontId="6" type="noConversion"/>
  </si>
  <si>
    <t>备注</t>
    <phoneticPr fontId="6" type="noConversion"/>
  </si>
  <si>
    <r>
      <t>合</t>
    </r>
    <r>
      <rPr>
        <sz val="10"/>
        <rFont val="Times New Roman"/>
        <family val="1"/>
      </rPr>
      <t xml:space="preserve">            </t>
    </r>
    <r>
      <rPr>
        <sz val="10"/>
        <rFont val="宋体"/>
        <family val="3"/>
        <charset val="134"/>
      </rPr>
      <t>计</t>
    </r>
    <phoneticPr fontId="6" type="noConversion"/>
  </si>
  <si>
    <t>4-2</t>
  </si>
  <si>
    <t>4-3</t>
  </si>
  <si>
    <t>4-4</t>
  </si>
  <si>
    <t>4-5</t>
  </si>
  <si>
    <t>4-1</t>
    <phoneticPr fontId="6" type="noConversion"/>
  </si>
  <si>
    <t>投资类别</t>
    <phoneticPr fontId="6" type="noConversion"/>
  </si>
  <si>
    <t>减：持有至到期投资减值准备</t>
    <phoneticPr fontId="6" type="noConversion"/>
  </si>
  <si>
    <t>减：长期股权投资减值准备</t>
    <phoneticPr fontId="6" type="noConversion"/>
  </si>
  <si>
    <t>总层数</t>
    <phoneticPr fontId="6" type="noConversion"/>
  </si>
  <si>
    <t>朝向</t>
    <phoneticPr fontId="6" type="noConversion"/>
  </si>
  <si>
    <t>减：投资性房地产减值准备</t>
    <phoneticPr fontId="6" type="noConversion"/>
  </si>
  <si>
    <t>总计</t>
    <phoneticPr fontId="6" type="noConversion"/>
  </si>
  <si>
    <t>5-4</t>
    <phoneticPr fontId="6" type="noConversion"/>
  </si>
  <si>
    <t>在建工程合计</t>
  </si>
  <si>
    <t>减：在建工程减值准备</t>
  </si>
  <si>
    <t>在建工程净额</t>
  </si>
  <si>
    <t>在建工程-土建工程</t>
  </si>
  <si>
    <t>在建工程-设备安装工程</t>
  </si>
  <si>
    <t>减：工程物资减值准备</t>
    <phoneticPr fontId="6" type="noConversion"/>
  </si>
  <si>
    <t>生产性生物资产</t>
    <phoneticPr fontId="6" type="noConversion"/>
  </si>
  <si>
    <t>油气资产</t>
    <phoneticPr fontId="6" type="noConversion"/>
  </si>
  <si>
    <t>金额单位：人民币元</t>
    <phoneticPr fontId="6" type="noConversion"/>
  </si>
  <si>
    <t>序号</t>
    <phoneticPr fontId="6" type="noConversion"/>
  </si>
  <si>
    <t>使用单位</t>
    <phoneticPr fontId="6" type="noConversion"/>
  </si>
  <si>
    <t>计量单位</t>
    <phoneticPr fontId="6" type="noConversion"/>
  </si>
  <si>
    <t>数量</t>
    <phoneticPr fontId="6" type="noConversion"/>
  </si>
  <si>
    <t>购置日期</t>
    <phoneticPr fontId="6" type="noConversion"/>
  </si>
  <si>
    <t>评估价值</t>
    <phoneticPr fontId="6" type="noConversion"/>
  </si>
  <si>
    <r>
      <t>增值率</t>
    </r>
    <r>
      <rPr>
        <sz val="10"/>
        <rFont val="Times New Roman"/>
        <family val="1"/>
      </rPr>
      <t>%</t>
    </r>
    <phoneticPr fontId="6" type="noConversion"/>
  </si>
  <si>
    <t>备注</t>
    <phoneticPr fontId="6" type="noConversion"/>
  </si>
  <si>
    <t>原值</t>
    <phoneticPr fontId="6" type="noConversion"/>
  </si>
  <si>
    <t>净值</t>
    <phoneticPr fontId="6" type="noConversion"/>
  </si>
  <si>
    <r>
      <t>成新率</t>
    </r>
    <r>
      <rPr>
        <sz val="10"/>
        <rFont val="Times New Roman"/>
        <family val="1"/>
      </rPr>
      <t>%</t>
    </r>
    <phoneticPr fontId="6" type="noConversion"/>
  </si>
  <si>
    <t>种类</t>
    <phoneticPr fontId="6" type="noConversion"/>
  </si>
  <si>
    <t>群别</t>
    <phoneticPr fontId="6" type="noConversion"/>
  </si>
  <si>
    <t>减：生产性生物资产减值准备</t>
    <phoneticPr fontId="6" type="noConversion"/>
  </si>
  <si>
    <t>无形资产合计</t>
  </si>
  <si>
    <t>减：无形资产减值准备</t>
  </si>
  <si>
    <t>6</t>
    <phoneticPr fontId="6" type="noConversion"/>
  </si>
  <si>
    <t>无形资产-土地使用权</t>
  </si>
  <si>
    <t>无形资产-其他无形资产</t>
  </si>
  <si>
    <t>6-1</t>
    <phoneticPr fontId="6" type="noConversion"/>
  </si>
  <si>
    <t>6-2</t>
  </si>
  <si>
    <t>开发支出</t>
    <phoneticPr fontId="6" type="noConversion"/>
  </si>
  <si>
    <t>内容或名称</t>
    <phoneticPr fontId="6" type="noConversion"/>
  </si>
  <si>
    <r>
      <t>合</t>
    </r>
    <r>
      <rPr>
        <sz val="10"/>
        <rFont val="Times New Roman"/>
        <family val="1"/>
      </rPr>
      <t xml:space="preserve">         </t>
    </r>
    <r>
      <rPr>
        <sz val="10"/>
        <rFont val="宋体"/>
        <family val="3"/>
        <charset val="134"/>
      </rPr>
      <t>计</t>
    </r>
    <phoneticPr fontId="6" type="noConversion"/>
  </si>
  <si>
    <t>6-3</t>
  </si>
  <si>
    <t>商誉</t>
    <phoneticPr fontId="6" type="noConversion"/>
  </si>
  <si>
    <t>金额单位：人民币元</t>
    <phoneticPr fontId="6" type="noConversion"/>
  </si>
  <si>
    <t>序号</t>
    <phoneticPr fontId="6" type="noConversion"/>
  </si>
  <si>
    <t>内容或名称</t>
    <phoneticPr fontId="6" type="noConversion"/>
  </si>
  <si>
    <t>评估价值</t>
    <phoneticPr fontId="6" type="noConversion"/>
  </si>
  <si>
    <r>
      <t>增值率</t>
    </r>
    <r>
      <rPr>
        <sz val="10"/>
        <rFont val="Times New Roman"/>
        <family val="1"/>
      </rPr>
      <t>%</t>
    </r>
    <phoneticPr fontId="6" type="noConversion"/>
  </si>
  <si>
    <t>备注</t>
    <phoneticPr fontId="6" type="noConversion"/>
  </si>
  <si>
    <t>减：商誉减值准备</t>
    <phoneticPr fontId="6" type="noConversion"/>
  </si>
  <si>
    <t>应交税费</t>
  </si>
  <si>
    <t>应付利息</t>
  </si>
  <si>
    <t>其他应付款</t>
  </si>
  <si>
    <t>一年内到期的非流动负债</t>
  </si>
  <si>
    <t>其他流动负债</t>
  </si>
  <si>
    <r>
      <t>户名（结算对象</t>
    </r>
    <r>
      <rPr>
        <sz val="10"/>
        <rFont val="Times New Roman"/>
        <family val="1"/>
      </rPr>
      <t>)</t>
    </r>
    <phoneticPr fontId="6" type="noConversion"/>
  </si>
  <si>
    <t>发生日期</t>
    <phoneticPr fontId="6" type="noConversion"/>
  </si>
  <si>
    <t>业务内容</t>
    <phoneticPr fontId="6" type="noConversion"/>
  </si>
  <si>
    <r>
      <t>合</t>
    </r>
    <r>
      <rPr>
        <sz val="10"/>
        <rFont val="Times New Roman"/>
        <family val="1"/>
      </rPr>
      <t xml:space="preserve">                                    </t>
    </r>
    <r>
      <rPr>
        <sz val="10"/>
        <rFont val="宋体"/>
        <family val="3"/>
        <charset val="134"/>
      </rPr>
      <t>计</t>
    </r>
    <phoneticPr fontId="6" type="noConversion"/>
  </si>
  <si>
    <t>交易性金融负债</t>
    <phoneticPr fontId="6" type="noConversion"/>
  </si>
  <si>
    <t>结算内容</t>
    <phoneticPr fontId="6" type="noConversion"/>
  </si>
  <si>
    <t>应付职工薪酬</t>
    <phoneticPr fontId="6" type="noConversion"/>
  </si>
  <si>
    <t>住房公积金</t>
    <phoneticPr fontId="6" type="noConversion"/>
  </si>
  <si>
    <t>工会经费</t>
    <phoneticPr fontId="6" type="noConversion"/>
  </si>
  <si>
    <t>职工教育经费</t>
    <phoneticPr fontId="6" type="noConversion"/>
  </si>
  <si>
    <t>非货币性福利</t>
    <phoneticPr fontId="6" type="noConversion"/>
  </si>
  <si>
    <t>辞退福利</t>
    <phoneticPr fontId="6" type="noConversion"/>
  </si>
  <si>
    <t>股份支付</t>
    <phoneticPr fontId="6" type="noConversion"/>
  </si>
  <si>
    <t>工资、奖金、津贴和补贴</t>
    <phoneticPr fontId="6" type="noConversion"/>
  </si>
  <si>
    <t>职工福利费</t>
    <phoneticPr fontId="6" type="noConversion"/>
  </si>
  <si>
    <t>医疗保险费</t>
    <phoneticPr fontId="6" type="noConversion"/>
  </si>
  <si>
    <t>基本养老保险费</t>
    <phoneticPr fontId="6" type="noConversion"/>
  </si>
  <si>
    <t>年金缴费</t>
    <phoneticPr fontId="6" type="noConversion"/>
  </si>
  <si>
    <t>失业保险费</t>
    <phoneticPr fontId="6" type="noConversion"/>
  </si>
  <si>
    <t>工伤保险费</t>
    <phoneticPr fontId="6" type="noConversion"/>
  </si>
  <si>
    <t>生育保险费</t>
    <phoneticPr fontId="6" type="noConversion"/>
  </si>
  <si>
    <t>税费种类</t>
    <phoneticPr fontId="6" type="noConversion"/>
  </si>
  <si>
    <t>金额单位：人民币元</t>
    <phoneticPr fontId="6" type="noConversion"/>
  </si>
  <si>
    <t>序号</t>
    <phoneticPr fontId="6" type="noConversion"/>
  </si>
  <si>
    <t>发生日期</t>
    <phoneticPr fontId="6" type="noConversion"/>
  </si>
  <si>
    <t>本金</t>
    <phoneticPr fontId="6" type="noConversion"/>
  </si>
  <si>
    <t>利息所属期间</t>
    <phoneticPr fontId="6" type="noConversion"/>
  </si>
  <si>
    <r>
      <t>利息率</t>
    </r>
    <r>
      <rPr>
        <sz val="10"/>
        <rFont val="Times New Roman"/>
        <family val="1"/>
      </rPr>
      <t>%</t>
    </r>
    <phoneticPr fontId="6" type="noConversion"/>
  </si>
  <si>
    <t>评估价值</t>
    <phoneticPr fontId="6" type="noConversion"/>
  </si>
  <si>
    <r>
      <t>增值率</t>
    </r>
    <r>
      <rPr>
        <sz val="10"/>
        <rFont val="Times New Roman"/>
        <family val="1"/>
      </rPr>
      <t>%</t>
    </r>
    <phoneticPr fontId="6" type="noConversion"/>
  </si>
  <si>
    <t>备注</t>
    <phoneticPr fontId="6" type="noConversion"/>
  </si>
  <si>
    <r>
      <t>合</t>
    </r>
    <r>
      <rPr>
        <sz val="10"/>
        <rFont val="Times New Roman"/>
        <family val="1"/>
      </rPr>
      <t xml:space="preserve">            </t>
    </r>
    <r>
      <rPr>
        <sz val="10"/>
        <rFont val="宋体"/>
        <family val="3"/>
        <charset val="134"/>
      </rPr>
      <t>计</t>
    </r>
    <phoneticPr fontId="6" type="noConversion"/>
  </si>
  <si>
    <t>应付股利（应付利润）</t>
  </si>
  <si>
    <t>结算项目</t>
    <phoneticPr fontId="6" type="noConversion"/>
  </si>
  <si>
    <t>非流动负债合计</t>
    <phoneticPr fontId="6" type="noConversion"/>
  </si>
  <si>
    <t>10</t>
    <phoneticPr fontId="6" type="noConversion"/>
  </si>
  <si>
    <t>应付债券</t>
  </si>
  <si>
    <t>专项应付款</t>
  </si>
  <si>
    <t>预计负债</t>
  </si>
  <si>
    <t>递延所得税负债</t>
  </si>
  <si>
    <t>其他非流动负债</t>
  </si>
  <si>
    <t>金额单位：人民币元</t>
    <phoneticPr fontId="6" type="noConversion"/>
  </si>
  <si>
    <t>序号</t>
    <phoneticPr fontId="6" type="noConversion"/>
  </si>
  <si>
    <r>
      <t>户名（结算对象</t>
    </r>
    <r>
      <rPr>
        <sz val="10"/>
        <rFont val="Times New Roman"/>
        <family val="1"/>
      </rPr>
      <t>)</t>
    </r>
    <phoneticPr fontId="6" type="noConversion"/>
  </si>
  <si>
    <t>发生日期</t>
    <phoneticPr fontId="6" type="noConversion"/>
  </si>
  <si>
    <t>结算内容</t>
    <phoneticPr fontId="6" type="noConversion"/>
  </si>
  <si>
    <t>评估价值</t>
    <phoneticPr fontId="6" type="noConversion"/>
  </si>
  <si>
    <t>备注</t>
    <phoneticPr fontId="6" type="noConversion"/>
  </si>
  <si>
    <r>
      <t>合</t>
    </r>
    <r>
      <rPr>
        <sz val="10"/>
        <rFont val="Times New Roman"/>
        <family val="1"/>
      </rPr>
      <t xml:space="preserve">                          </t>
    </r>
    <r>
      <rPr>
        <sz val="10"/>
        <rFont val="宋体"/>
        <family val="3"/>
        <charset val="134"/>
      </rPr>
      <t>计</t>
    </r>
    <phoneticPr fontId="6" type="noConversion"/>
  </si>
  <si>
    <t>股票投资</t>
    <phoneticPr fontId="6" type="noConversion"/>
  </si>
  <si>
    <t>基金投资</t>
    <phoneticPr fontId="6" type="noConversion"/>
  </si>
  <si>
    <t>在库周转材料</t>
  </si>
  <si>
    <t>在用周转材料</t>
  </si>
  <si>
    <t>一年到期非流动资产</t>
  </si>
  <si>
    <t>可供出售金融资产</t>
  </si>
  <si>
    <t>持有至到期投资</t>
  </si>
  <si>
    <t>长期股权投资</t>
  </si>
  <si>
    <t>投资性房地产</t>
  </si>
  <si>
    <t>其他投资</t>
    <phoneticPr fontId="6" type="noConversion"/>
  </si>
  <si>
    <t>原始入账价值</t>
    <phoneticPr fontId="6" type="noConversion"/>
  </si>
  <si>
    <t>预付款项</t>
  </si>
  <si>
    <t>非流动资产：</t>
    <phoneticPr fontId="6" type="noConversion"/>
  </si>
  <si>
    <t>在建工程</t>
  </si>
  <si>
    <t>非流动资产合计</t>
    <phoneticPr fontId="6" type="noConversion"/>
  </si>
  <si>
    <t>应付股利</t>
  </si>
  <si>
    <t>非流动负债：</t>
    <phoneticPr fontId="6" type="noConversion"/>
  </si>
  <si>
    <t>减：库存股</t>
    <phoneticPr fontId="6" type="noConversion"/>
  </si>
  <si>
    <t>资本公积</t>
  </si>
  <si>
    <t>盈余公积</t>
  </si>
  <si>
    <t>未分配利润</t>
  </si>
  <si>
    <t>资产总计</t>
  </si>
  <si>
    <t>流动负债合计</t>
  </si>
  <si>
    <t>流动资产：</t>
    <phoneticPr fontId="6" type="noConversion"/>
  </si>
  <si>
    <t>负债合计</t>
    <phoneticPr fontId="6" type="noConversion"/>
  </si>
  <si>
    <t>其他资产</t>
    <phoneticPr fontId="6" type="noConversion"/>
  </si>
  <si>
    <t>返回索引页</t>
    <phoneticPr fontId="6" type="noConversion"/>
  </si>
  <si>
    <t>非流动负债</t>
    <phoneticPr fontId="6" type="noConversion"/>
  </si>
  <si>
    <t>递延所得税资产</t>
    <phoneticPr fontId="6" type="noConversion"/>
  </si>
  <si>
    <t>其他非流动资产</t>
    <phoneticPr fontId="6" type="noConversion"/>
  </si>
  <si>
    <t>应付账款</t>
    <phoneticPr fontId="6" type="noConversion"/>
  </si>
  <si>
    <t>预收款项</t>
    <phoneticPr fontId="6" type="noConversion"/>
  </si>
  <si>
    <t>应收账款</t>
    <phoneticPr fontId="6" type="noConversion"/>
  </si>
  <si>
    <t>应收利息</t>
    <phoneticPr fontId="6" type="noConversion"/>
  </si>
  <si>
    <t>存货</t>
    <phoneticPr fontId="6" type="noConversion"/>
  </si>
  <si>
    <t>一年内到期的非流动资产</t>
    <phoneticPr fontId="6" type="noConversion"/>
  </si>
  <si>
    <t>其他流动资产</t>
    <phoneticPr fontId="6" type="noConversion"/>
  </si>
  <si>
    <t>交易性金融资产-股票投资</t>
    <phoneticPr fontId="6" type="noConversion"/>
  </si>
  <si>
    <t>交易性金融资产-债券投资</t>
    <phoneticPr fontId="6" type="noConversion"/>
  </si>
  <si>
    <t>委托加工物资</t>
    <phoneticPr fontId="6" type="noConversion"/>
  </si>
  <si>
    <t>产成品（库存商品）</t>
    <phoneticPr fontId="6" type="noConversion"/>
  </si>
  <si>
    <t>在产品（自制半成品）</t>
    <phoneticPr fontId="6" type="noConversion"/>
  </si>
  <si>
    <t>发出商品</t>
    <phoneticPr fontId="6" type="noConversion"/>
  </si>
  <si>
    <t>科目</t>
    <phoneticPr fontId="6" type="noConversion"/>
  </si>
  <si>
    <t>所在层数</t>
    <phoneticPr fontId="6" type="noConversion"/>
  </si>
  <si>
    <t>账龄总数与审计前账面值差异(应等于0)</t>
  </si>
  <si>
    <t>账面价值</t>
    <phoneticPr fontId="6" type="noConversion"/>
  </si>
  <si>
    <t>无形资产</t>
    <phoneticPr fontId="6" type="noConversion"/>
  </si>
  <si>
    <t>被评估企业或产权持有单位填表人：</t>
  </si>
  <si>
    <t>七、净资产（所有者权益）</t>
    <phoneticPr fontId="6" type="noConversion"/>
  </si>
  <si>
    <t>审计调整</t>
    <phoneticPr fontId="6" type="noConversion"/>
  </si>
  <si>
    <t>审计调整</t>
    <phoneticPr fontId="6" type="noConversion"/>
  </si>
  <si>
    <t>成本</t>
    <phoneticPr fontId="6" type="noConversion"/>
  </si>
  <si>
    <t>审计调整</t>
    <phoneticPr fontId="6" type="noConversion"/>
  </si>
  <si>
    <t>审计调整</t>
    <phoneticPr fontId="6" type="noConversion"/>
  </si>
  <si>
    <t>非流动资产评估汇总表</t>
    <phoneticPr fontId="6" type="noConversion"/>
  </si>
  <si>
    <t>4-6</t>
  </si>
  <si>
    <t>4-7</t>
  </si>
  <si>
    <t>4-8</t>
  </si>
  <si>
    <t>4-9</t>
  </si>
  <si>
    <t>4-10</t>
  </si>
  <si>
    <t>4-11</t>
  </si>
  <si>
    <t>4-12</t>
  </si>
  <si>
    <t>4-13</t>
  </si>
  <si>
    <t>4-14</t>
  </si>
  <si>
    <t>4-15</t>
  </si>
  <si>
    <t>4-16</t>
  </si>
  <si>
    <t>4-17</t>
  </si>
  <si>
    <t>审计调整</t>
    <phoneticPr fontId="6" type="noConversion"/>
  </si>
  <si>
    <t>取得成本</t>
    <phoneticPr fontId="6" type="noConversion"/>
  </si>
  <si>
    <t>成本（面值）</t>
    <phoneticPr fontId="6" type="noConversion"/>
  </si>
  <si>
    <t>投资成本</t>
    <phoneticPr fontId="6" type="noConversion"/>
  </si>
  <si>
    <r>
      <t>持股比例</t>
    </r>
    <r>
      <rPr>
        <sz val="10"/>
        <rFont val="Times New Roman"/>
        <family val="1"/>
      </rPr>
      <t>%</t>
    </r>
    <phoneticPr fontId="6" type="noConversion"/>
  </si>
  <si>
    <t>投资性房地产——房屋评估明细表</t>
    <phoneticPr fontId="6" type="noConversion"/>
  </si>
  <si>
    <t>（采用成本模式计量）</t>
    <phoneticPr fontId="6" type="noConversion"/>
  </si>
  <si>
    <t>被评估单位（或者产权持有单位）：</t>
    <phoneticPr fontId="6" type="noConversion"/>
  </si>
  <si>
    <t>房屋名称</t>
    <phoneticPr fontId="6" type="noConversion"/>
  </si>
  <si>
    <t>来源（外购、自建、自用转入、存货转入等）</t>
    <phoneticPr fontId="6" type="noConversion"/>
  </si>
  <si>
    <t>合      计</t>
    <phoneticPr fontId="6" type="noConversion"/>
  </si>
  <si>
    <t>投资性房地产——土地使用权评估明细表</t>
    <phoneticPr fontId="6" type="noConversion"/>
  </si>
  <si>
    <r>
      <t>建筑</t>
    </r>
    <r>
      <rPr>
        <sz val="10"/>
        <rFont val="宋体"/>
        <family val="3"/>
        <charset val="134"/>
      </rPr>
      <t>面积</t>
    </r>
    <r>
      <rPr>
        <sz val="10"/>
        <rFont val="Times New Roman"/>
        <family val="1"/>
      </rPr>
      <t/>
    </r>
    <phoneticPr fontId="22" type="noConversion"/>
  </si>
  <si>
    <t>投资性房地产——房屋评估明细表</t>
    <phoneticPr fontId="6" type="noConversion"/>
  </si>
  <si>
    <t>（采用公允价值模式计量）</t>
    <phoneticPr fontId="6" type="noConversion"/>
  </si>
  <si>
    <t>被评估单位（或者产权持有单位）：</t>
    <phoneticPr fontId="6" type="noConversion"/>
  </si>
  <si>
    <t>金额单位：人民币元</t>
    <phoneticPr fontId="6" type="noConversion"/>
  </si>
  <si>
    <t>序号</t>
    <phoneticPr fontId="6" type="noConversion"/>
  </si>
  <si>
    <t>权证编号</t>
    <phoneticPr fontId="6" type="noConversion"/>
  </si>
  <si>
    <t>房屋名称</t>
    <phoneticPr fontId="6" type="noConversion"/>
  </si>
  <si>
    <t>来源（外购、自建、自用转入、存货转入等）</t>
    <phoneticPr fontId="6" type="noConversion"/>
  </si>
  <si>
    <t>结构</t>
    <phoneticPr fontId="6" type="noConversion"/>
  </si>
  <si>
    <t>建成
年月</t>
    <phoneticPr fontId="6" type="noConversion"/>
  </si>
  <si>
    <t>计量单位</t>
    <phoneticPr fontId="22" type="noConversion"/>
  </si>
  <si>
    <r>
      <t>建筑</t>
    </r>
    <r>
      <rPr>
        <sz val="10"/>
        <rFont val="Times New Roman"/>
        <family val="1"/>
      </rPr>
      <t xml:space="preserve">          </t>
    </r>
    <r>
      <rPr>
        <sz val="10"/>
        <rFont val="宋体"/>
        <family val="3"/>
        <charset val="134"/>
      </rPr>
      <t>面积</t>
    </r>
    <r>
      <rPr>
        <sz val="10"/>
        <rFont val="Times New Roman"/>
        <family val="1"/>
      </rPr>
      <t/>
    </r>
    <phoneticPr fontId="22" type="noConversion"/>
  </si>
  <si>
    <r>
      <t>成本单价</t>
    </r>
    <r>
      <rPr>
        <sz val="10"/>
        <rFont val="Times New Roman"/>
        <family val="1"/>
      </rPr>
      <t>(</t>
    </r>
    <r>
      <rPr>
        <sz val="10"/>
        <rFont val="宋体"/>
        <family val="3"/>
        <charset val="134"/>
      </rPr>
      <t>元</t>
    </r>
    <r>
      <rPr>
        <sz val="10"/>
        <rFont val="Times New Roman"/>
        <family val="1"/>
      </rPr>
      <t>/m</t>
    </r>
    <r>
      <rPr>
        <vertAlign val="superscript"/>
        <sz val="10"/>
        <rFont val="Times New Roman"/>
        <family val="1"/>
      </rPr>
      <t>2</t>
    </r>
    <r>
      <rPr>
        <sz val="10"/>
        <rFont val="Times New Roman"/>
        <family val="1"/>
      </rPr>
      <t>)</t>
    </r>
    <phoneticPr fontId="6" type="noConversion"/>
  </si>
  <si>
    <t>原始入帐价值    （转入日公允价值）</t>
    <phoneticPr fontId="6" type="noConversion"/>
  </si>
  <si>
    <t>账面价值</t>
    <phoneticPr fontId="6" type="noConversion"/>
  </si>
  <si>
    <t>评估价值</t>
    <phoneticPr fontId="6" type="noConversion"/>
  </si>
  <si>
    <t>增减值</t>
    <phoneticPr fontId="6" type="noConversion"/>
  </si>
  <si>
    <r>
      <t>增值率</t>
    </r>
    <r>
      <rPr>
        <sz val="10"/>
        <rFont val="Times New Roman"/>
        <family val="1"/>
      </rPr>
      <t>%</t>
    </r>
    <phoneticPr fontId="6" type="noConversion"/>
  </si>
  <si>
    <t>备注</t>
    <phoneticPr fontId="6" type="noConversion"/>
  </si>
  <si>
    <t>现场勘察简单记录</t>
    <phoneticPr fontId="6" type="noConversion"/>
  </si>
  <si>
    <t>证载权利人</t>
    <phoneticPr fontId="6" type="noConversion"/>
  </si>
  <si>
    <r>
      <t>合</t>
    </r>
    <r>
      <rPr>
        <sz val="10"/>
        <rFont val="Times New Roman"/>
        <family val="1"/>
      </rPr>
      <t xml:space="preserve">            </t>
    </r>
    <r>
      <rPr>
        <sz val="10"/>
        <rFont val="宋体"/>
        <family val="3"/>
        <charset val="134"/>
      </rPr>
      <t>计</t>
    </r>
    <phoneticPr fontId="6" type="noConversion"/>
  </si>
  <si>
    <t>土地用途</t>
    <phoneticPr fontId="6" type="noConversion"/>
  </si>
  <si>
    <t>（采用公允价值模式计量）</t>
    <phoneticPr fontId="6" type="noConversion"/>
  </si>
  <si>
    <t>原始入账价值（转入日公允价值）</t>
    <phoneticPr fontId="6" type="noConversion"/>
  </si>
  <si>
    <t>4-7-1</t>
    <phoneticPr fontId="6" type="noConversion"/>
  </si>
  <si>
    <t>4-7-2</t>
    <phoneticPr fontId="6" type="noConversion"/>
  </si>
  <si>
    <t>建筑面积/容积</t>
    <phoneticPr fontId="6" type="noConversion"/>
  </si>
  <si>
    <t>规格型号</t>
    <phoneticPr fontId="6" type="noConversion"/>
  </si>
  <si>
    <t>数量</t>
    <phoneticPr fontId="6" type="noConversion"/>
  </si>
  <si>
    <t>计量单位</t>
    <phoneticPr fontId="6" type="noConversion"/>
  </si>
  <si>
    <t>类别</t>
    <phoneticPr fontId="6" type="noConversion"/>
  </si>
  <si>
    <t>矿区（或油田)</t>
    <phoneticPr fontId="6" type="noConversion"/>
  </si>
  <si>
    <t>计量单位</t>
    <phoneticPr fontId="6" type="noConversion"/>
  </si>
  <si>
    <t>数量</t>
    <phoneticPr fontId="6" type="noConversion"/>
  </si>
  <si>
    <t>形成日期</t>
    <phoneticPr fontId="6" type="noConversion"/>
  </si>
  <si>
    <t>来源（购入、自行建造）</t>
    <phoneticPr fontId="6" type="noConversion"/>
  </si>
  <si>
    <t>4-12-1</t>
    <phoneticPr fontId="6" type="noConversion"/>
  </si>
  <si>
    <t>4-12-2</t>
  </si>
  <si>
    <t>4-12-3</t>
  </si>
  <si>
    <t>勘查（采矿）许可证编号</t>
    <phoneticPr fontId="6" type="noConversion"/>
  </si>
  <si>
    <t>剩余有效年限</t>
    <phoneticPr fontId="6" type="noConversion"/>
  </si>
  <si>
    <t>勘查开发阶段</t>
    <phoneticPr fontId="6" type="noConversion"/>
  </si>
  <si>
    <t>无形资产—矿业权评估明细表</t>
    <phoneticPr fontId="6" type="noConversion"/>
  </si>
  <si>
    <t>名称、种类（探矿权/采矿权）</t>
    <phoneticPr fontId="6" type="noConversion"/>
  </si>
  <si>
    <t>取得方式</t>
    <phoneticPr fontId="6" type="noConversion"/>
  </si>
  <si>
    <t>核定（批准）生产规模</t>
    <phoneticPr fontId="6" type="noConversion"/>
  </si>
  <si>
    <t>5-2</t>
  </si>
  <si>
    <t>5-3</t>
  </si>
  <si>
    <t>5-4</t>
  </si>
  <si>
    <t>5-5</t>
  </si>
  <si>
    <t>5-6</t>
  </si>
  <si>
    <t>5-7</t>
  </si>
  <si>
    <t>5-8</t>
  </si>
  <si>
    <t>5-9</t>
  </si>
  <si>
    <t>5-10</t>
  </si>
  <si>
    <t>5-11</t>
  </si>
  <si>
    <t>5-12</t>
  </si>
  <si>
    <t>其他</t>
    <phoneticPr fontId="6" type="noConversion"/>
  </si>
  <si>
    <t>6-4</t>
  </si>
  <si>
    <t>6-5</t>
  </si>
  <si>
    <t>6-6</t>
  </si>
  <si>
    <t>6-7</t>
  </si>
  <si>
    <t>审计调整</t>
    <phoneticPr fontId="41" type="noConversion"/>
  </si>
  <si>
    <t>审计前账面值</t>
    <phoneticPr fontId="6" type="noConversion"/>
  </si>
  <si>
    <t>长期待摊费用</t>
    <phoneticPr fontId="6" type="noConversion"/>
  </si>
  <si>
    <t>递延所得税资产</t>
    <phoneticPr fontId="6" type="noConversion"/>
  </si>
  <si>
    <r>
      <t>无形资产</t>
    </r>
    <r>
      <rPr>
        <sz val="11"/>
        <rFont val="Times New Roman"/>
        <family val="1"/>
      </rPr>
      <t>-</t>
    </r>
    <r>
      <rPr>
        <sz val="11"/>
        <rFont val="宋体"/>
        <family val="3"/>
        <charset val="134"/>
      </rPr>
      <t>矿业权</t>
    </r>
    <phoneticPr fontId="6" type="noConversion"/>
  </si>
  <si>
    <t>货币资金（现金</t>
    <phoneticPr fontId="6" type="noConversion"/>
  </si>
  <si>
    <t>项目名称</t>
  </si>
  <si>
    <t>利润表</t>
    <phoneticPr fontId="6" type="noConversion"/>
  </si>
  <si>
    <t>一、营业收入</t>
    <phoneticPr fontId="6" type="noConversion"/>
  </si>
  <si>
    <t xml:space="preserve">     减：营业成本</t>
    <phoneticPr fontId="6" type="noConversion"/>
  </si>
  <si>
    <t xml:space="preserve">         营业税金及附加</t>
    <phoneticPr fontId="6" type="noConversion"/>
  </si>
  <si>
    <t xml:space="preserve">         销售费用</t>
    <phoneticPr fontId="6" type="noConversion"/>
  </si>
  <si>
    <t xml:space="preserve">         管理费用</t>
    <phoneticPr fontId="6" type="noConversion"/>
  </si>
  <si>
    <t xml:space="preserve">         财务费用</t>
    <phoneticPr fontId="6" type="noConversion"/>
  </si>
  <si>
    <t xml:space="preserve">         资产减值损失</t>
    <phoneticPr fontId="6" type="noConversion"/>
  </si>
  <si>
    <t xml:space="preserve">     加：公允价值变动收益（损失以“－”号填列）</t>
    <phoneticPr fontId="6" type="noConversion"/>
  </si>
  <si>
    <t xml:space="preserve">         投资收益（损失以“－”号填列）</t>
    <phoneticPr fontId="6" type="noConversion"/>
  </si>
  <si>
    <t xml:space="preserve">         其中：对联营企业和合营企业的投资收益</t>
    <phoneticPr fontId="6" type="noConversion"/>
  </si>
  <si>
    <t>二、营业利润（亏损以“－”号填列）</t>
    <phoneticPr fontId="6" type="noConversion"/>
  </si>
  <si>
    <t xml:space="preserve">     加：营业外收入</t>
    <phoneticPr fontId="6" type="noConversion"/>
  </si>
  <si>
    <t xml:space="preserve">     减：营业外支出</t>
    <phoneticPr fontId="6" type="noConversion"/>
  </si>
  <si>
    <t xml:space="preserve">         其中：非流动资产处置损失</t>
    <phoneticPr fontId="6" type="noConversion"/>
  </si>
  <si>
    <t>三、利润总额（亏损以“－”号填列）</t>
    <phoneticPr fontId="6" type="noConversion"/>
  </si>
  <si>
    <t xml:space="preserve">    减：所得税费用</t>
    <phoneticPr fontId="6" type="noConversion"/>
  </si>
  <si>
    <t>四、净利润（净亏损以“－”号填列）</t>
    <phoneticPr fontId="6" type="noConversion"/>
  </si>
  <si>
    <t xml:space="preserve">    归属于母公司股东的净利润</t>
    <phoneticPr fontId="6" type="noConversion"/>
  </si>
  <si>
    <t xml:space="preserve">    同一控制下企业合并合并日前净利润</t>
    <phoneticPr fontId="6" type="noConversion"/>
  </si>
  <si>
    <t xml:space="preserve">    少数股东损益</t>
    <phoneticPr fontId="6" type="noConversion"/>
  </si>
  <si>
    <t>五、每股收益</t>
    <phoneticPr fontId="6" type="noConversion"/>
  </si>
  <si>
    <t xml:space="preserve">    基本每股收益</t>
    <phoneticPr fontId="6" type="noConversion"/>
  </si>
  <si>
    <t xml:space="preserve">    稀释每股收益</t>
    <phoneticPr fontId="6" type="noConversion"/>
  </si>
  <si>
    <t>六、其他综合收益</t>
    <phoneticPr fontId="6" type="noConversion"/>
  </si>
  <si>
    <t>七、综合收益总额</t>
    <phoneticPr fontId="6" type="noConversion"/>
  </si>
  <si>
    <t xml:space="preserve">    归属于母公司所有者的综合收益总额</t>
    <phoneticPr fontId="6" type="noConversion"/>
  </si>
  <si>
    <t xml:space="preserve">    归属于少数股东的综合收益总额</t>
    <phoneticPr fontId="6" type="noConversion"/>
  </si>
  <si>
    <t>联系电话：</t>
    <phoneticPr fontId="6" type="noConversion"/>
  </si>
  <si>
    <t>上年数</t>
    <phoneticPr fontId="6" type="noConversion"/>
  </si>
  <si>
    <t>基准日数</t>
    <phoneticPr fontId="6" type="noConversion"/>
  </si>
  <si>
    <t>流动资产评估汇总表</t>
  </si>
  <si>
    <t>其他非流动负债评估明细表</t>
  </si>
  <si>
    <t>递延所得税负债评估明细表</t>
  </si>
  <si>
    <t>预计负债评估明细表</t>
  </si>
  <si>
    <t>专项应付款评估明细表</t>
  </si>
  <si>
    <t>长期应付款评估明细表</t>
  </si>
  <si>
    <t>应付债券评估明细表</t>
  </si>
  <si>
    <t>长期借款评估明细表</t>
  </si>
  <si>
    <t>非流动负债评估汇总表</t>
  </si>
  <si>
    <t>其他流动负债评估明细表</t>
  </si>
  <si>
    <t>一年内到期的非流动负债评估明细表</t>
  </si>
  <si>
    <t>其他应付款评估明细表</t>
  </si>
  <si>
    <t>应付股利（应付利润）评估明细表</t>
  </si>
  <si>
    <t>应付利息评估明细表</t>
  </si>
  <si>
    <t>应交税费评估明细表</t>
  </si>
  <si>
    <t>应付职工薪酬评估明细表</t>
  </si>
  <si>
    <t>预收账款评估明细表</t>
  </si>
  <si>
    <t>应付账款评估明细表</t>
  </si>
  <si>
    <t>应付票据评估明细表</t>
  </si>
  <si>
    <t>交易性金融负债评估明细表</t>
  </si>
  <si>
    <t>短期借款评估明细表</t>
  </si>
  <si>
    <t>流动负债评估汇总表</t>
  </si>
  <si>
    <t>其他非流动资产评估明细表</t>
  </si>
  <si>
    <t>递延所得税资产评估明细表</t>
  </si>
  <si>
    <t>长期待摊费用评估明细表</t>
  </si>
  <si>
    <t>商誉评估明细表</t>
  </si>
  <si>
    <t>开发支出评估明细表</t>
  </si>
  <si>
    <t>无形资产—其他无形资产评估明细表</t>
  </si>
  <si>
    <t>无形资产—土地使用权评估明细表</t>
  </si>
  <si>
    <t>无形资产评估汇总表</t>
  </si>
  <si>
    <t>油气资产评估明细表</t>
  </si>
  <si>
    <t>生产性生物资产评估明细表</t>
  </si>
  <si>
    <t>固定资产清理评估明细表</t>
  </si>
  <si>
    <t>工程物资评估明细表</t>
  </si>
  <si>
    <t>在建工程—设备安装工程评估明细表</t>
  </si>
  <si>
    <t>在建工程—土建工程评估明细表</t>
  </si>
  <si>
    <t>在建工程评估汇总表</t>
  </si>
  <si>
    <t>固定资产—土地评估明细表</t>
  </si>
  <si>
    <t>固定资产—电子设备评估明细表</t>
  </si>
  <si>
    <t>固定资产—车辆评估明细表</t>
  </si>
  <si>
    <t>固定资产—管道和沟槽评估明细表</t>
  </si>
  <si>
    <t>固定资产—构筑物及其他辅助设施评估明细表</t>
  </si>
  <si>
    <t>固定资产—房屋建筑物评估明细表</t>
  </si>
  <si>
    <t>长期股权投资评估明细表</t>
  </si>
  <si>
    <t>长期应收款评估明细表</t>
  </si>
  <si>
    <t>持有至到期投资评估明细表</t>
  </si>
  <si>
    <t>可供出售金融资产—其他投资评估明细表</t>
  </si>
  <si>
    <t>可供出售金融资产—债券投资评估明细表</t>
  </si>
  <si>
    <t>可供出售金融资产—股票投资评估明细表</t>
  </si>
  <si>
    <t>可供出售金融资产评估汇总表</t>
  </si>
  <si>
    <t>其他流动资产评估明细表</t>
  </si>
  <si>
    <t>一年内到期的非流动资产评估明细表</t>
  </si>
  <si>
    <t>存货—在用周转材料评估明细表</t>
  </si>
  <si>
    <t>存货—发出商品评估明细表</t>
  </si>
  <si>
    <t>存货—在产品（自制半成品）评估明细表</t>
  </si>
  <si>
    <t>存货—产成品（库存商品）评估明细表</t>
  </si>
  <si>
    <t>存货—委托加工物资评估明细表</t>
  </si>
  <si>
    <t>存货—在库周转材料评估明细表</t>
  </si>
  <si>
    <t>存货—原材料评估明细表</t>
  </si>
  <si>
    <t>存货—材料采购（在途物资）评估明细表</t>
  </si>
  <si>
    <t>存货评估汇总表</t>
  </si>
  <si>
    <t>其他应收款评估明细表</t>
  </si>
  <si>
    <t>应收股利（应收利润）评估明细表</t>
  </si>
  <si>
    <t>应收利息评估明细表</t>
  </si>
  <si>
    <t>预付账款评估明细表</t>
  </si>
  <si>
    <t>应收账款评估明细表</t>
  </si>
  <si>
    <t>应收票据评估明细表</t>
  </si>
  <si>
    <t>交易性金融资产—基金投资评估明细表</t>
  </si>
  <si>
    <t>交易性金融资产—债券投资评估明细表</t>
  </si>
  <si>
    <t>交易性金融资产—股票投资评估明细表</t>
  </si>
  <si>
    <t>交易性金融资产评估汇总表</t>
  </si>
  <si>
    <t>货币资金—其他货币资金评估明细表</t>
  </si>
  <si>
    <t>货币资金—银行存款评估明细表</t>
  </si>
  <si>
    <t>货币资金—现金评估明细表</t>
  </si>
  <si>
    <t>增减值</t>
  </si>
  <si>
    <t>建设年限</t>
    <phoneticPr fontId="6" type="noConversion"/>
  </si>
  <si>
    <t>利率</t>
    <phoneticPr fontId="6" type="noConversion"/>
  </si>
  <si>
    <t>成本法评估单价</t>
    <phoneticPr fontId="6" type="noConversion"/>
  </si>
  <si>
    <t>设计使用年限</t>
    <phoneticPr fontId="6" type="noConversion"/>
  </si>
  <si>
    <r>
      <t>理论成新率</t>
    </r>
    <r>
      <rPr>
        <b/>
        <sz val="10"/>
        <rFont val="Times New Roman"/>
        <family val="1"/>
      </rPr>
      <t>%</t>
    </r>
    <phoneticPr fontId="6" type="noConversion"/>
  </si>
  <si>
    <r>
      <t>勘查成新率</t>
    </r>
    <r>
      <rPr>
        <b/>
        <sz val="10"/>
        <rFont val="Times New Roman"/>
        <family val="1"/>
      </rPr>
      <t>%</t>
    </r>
    <phoneticPr fontId="6" type="noConversion"/>
  </si>
  <si>
    <r>
      <t>综合成新率</t>
    </r>
    <r>
      <rPr>
        <b/>
        <sz val="10"/>
        <rFont val="Times New Roman"/>
        <family val="1"/>
      </rPr>
      <t>%</t>
    </r>
    <phoneticPr fontId="6" type="noConversion"/>
  </si>
  <si>
    <t>已使用年限</t>
    <phoneticPr fontId="6" type="noConversion"/>
  </si>
  <si>
    <t>基准价</t>
    <phoneticPr fontId="6" type="noConversion"/>
  </si>
  <si>
    <t>系数修正</t>
    <phoneticPr fontId="6" type="noConversion"/>
  </si>
  <si>
    <t>单位造价</t>
    <phoneticPr fontId="6" type="noConversion"/>
  </si>
  <si>
    <t>前期费用</t>
    <phoneticPr fontId="6" type="noConversion"/>
  </si>
  <si>
    <t>会计折旧年限</t>
    <phoneticPr fontId="6" type="noConversion"/>
  </si>
  <si>
    <t>规格型号</t>
    <phoneticPr fontId="6" type="noConversion"/>
  </si>
  <si>
    <t>名称</t>
    <phoneticPr fontId="6" type="noConversion"/>
  </si>
  <si>
    <t>规格型号</t>
    <phoneticPr fontId="6" type="noConversion"/>
  </si>
  <si>
    <t>其中跌价准备</t>
    <phoneticPr fontId="6" type="noConversion"/>
  </si>
  <si>
    <t>金额单位：人民币元</t>
    <phoneticPr fontId="6" type="noConversion"/>
  </si>
  <si>
    <t>土地使用权到期日</t>
    <phoneticPr fontId="6" type="noConversion"/>
  </si>
  <si>
    <t>土地用途</t>
    <phoneticPr fontId="6" type="noConversion"/>
  </si>
  <si>
    <t>出票单位</t>
    <phoneticPr fontId="6" type="noConversion"/>
  </si>
  <si>
    <t>资产编号</t>
    <phoneticPr fontId="6" type="noConversion"/>
  </si>
  <si>
    <t>净值</t>
    <phoneticPr fontId="6" type="noConversion"/>
  </si>
  <si>
    <t>坏账准备金额</t>
    <phoneticPr fontId="6" type="noConversion"/>
  </si>
  <si>
    <t>坏账准备</t>
    <phoneticPr fontId="6" type="noConversion"/>
  </si>
  <si>
    <t>金额</t>
    <phoneticPr fontId="6" type="noConversion"/>
  </si>
  <si>
    <t>计提跌价准备金额</t>
    <phoneticPr fontId="6" type="noConversion"/>
  </si>
  <si>
    <t>计提跌价准备金额</t>
    <phoneticPr fontId="6" type="noConversion"/>
  </si>
  <si>
    <t>来源（外购、自建、自用转入、存货转入等）</t>
    <phoneticPr fontId="6" type="noConversion"/>
  </si>
  <si>
    <t>折旧年限</t>
    <phoneticPr fontId="6" type="noConversion"/>
  </si>
  <si>
    <t>具体位置</t>
    <phoneticPr fontId="6" type="noConversion"/>
  </si>
  <si>
    <t>摊销年限</t>
    <phoneticPr fontId="6" type="noConversion"/>
  </si>
  <si>
    <t>金额单位:人民币元</t>
  </si>
  <si>
    <t>井巷工程名称（全称）</t>
    <phoneticPr fontId="6" type="noConversion"/>
  </si>
  <si>
    <t>施工阶段</t>
    <phoneticPr fontId="6" type="noConversion"/>
  </si>
  <si>
    <t>巷道断面类型</t>
    <phoneticPr fontId="6" type="noConversion"/>
  </si>
  <si>
    <t>标高（m)</t>
    <phoneticPr fontId="6" type="noConversion"/>
  </si>
  <si>
    <t>煤岩类别</t>
    <phoneticPr fontId="6" type="noConversion"/>
  </si>
  <si>
    <t>岩石硬度系数</t>
    <phoneticPr fontId="6" type="noConversion"/>
  </si>
  <si>
    <t>支护方式</t>
    <phoneticPr fontId="6" type="noConversion"/>
  </si>
  <si>
    <t>材质</t>
    <phoneticPr fontId="6" type="noConversion"/>
  </si>
  <si>
    <t>钢筋梯</t>
    <phoneticPr fontId="6" type="noConversion"/>
  </si>
  <si>
    <t>锚杆</t>
    <phoneticPr fontId="6" type="noConversion"/>
  </si>
  <si>
    <t>锚索</t>
    <phoneticPr fontId="6" type="noConversion"/>
  </si>
  <si>
    <t>钢梁</t>
    <phoneticPr fontId="6" type="noConversion"/>
  </si>
  <si>
    <t>网片(张数/m)</t>
    <phoneticPr fontId="6" type="noConversion"/>
  </si>
  <si>
    <t>钢筋制作</t>
    <phoneticPr fontId="6" type="noConversion"/>
  </si>
  <si>
    <t>砼铺底</t>
    <phoneticPr fontId="6" type="noConversion"/>
  </si>
  <si>
    <t>铺轨</t>
    <phoneticPr fontId="6" type="noConversion"/>
  </si>
  <si>
    <t>掘进直径(m)</t>
    <phoneticPr fontId="6" type="noConversion"/>
  </si>
  <si>
    <t>净直径(m)</t>
    <phoneticPr fontId="6" type="noConversion"/>
  </si>
  <si>
    <t>掘进断面高度(m)</t>
    <phoneticPr fontId="6" type="noConversion"/>
  </si>
  <si>
    <t>掘进断面宽度(m)</t>
    <phoneticPr fontId="6" type="noConversion"/>
  </si>
  <si>
    <r>
      <t>支护厚度</t>
    </r>
    <r>
      <rPr>
        <b/>
        <sz val="10"/>
        <rFont val="Times New Roman"/>
        <family val="1"/>
      </rPr>
      <t>(</t>
    </r>
    <r>
      <rPr>
        <b/>
        <sz val="10"/>
        <rFont val="宋体"/>
        <family val="3"/>
        <charset val="134"/>
      </rPr>
      <t>㎜</t>
    </r>
    <r>
      <rPr>
        <b/>
        <sz val="10"/>
        <rFont val="Times New Roman"/>
        <family val="1"/>
      </rPr>
      <t>)</t>
    </r>
    <phoneticPr fontId="6" type="noConversion"/>
  </si>
  <si>
    <r>
      <t>掘进断面</t>
    </r>
    <r>
      <rPr>
        <b/>
        <sz val="10"/>
        <rFont val="Times New Roman"/>
        <family val="1"/>
      </rPr>
      <t>(</t>
    </r>
    <r>
      <rPr>
        <b/>
        <sz val="10"/>
        <rFont val="宋体"/>
        <family val="3"/>
        <charset val="134"/>
      </rPr>
      <t>㎡</t>
    </r>
    <r>
      <rPr>
        <b/>
        <sz val="10"/>
        <rFont val="Times New Roman"/>
        <family val="1"/>
      </rPr>
      <t>)</t>
    </r>
    <phoneticPr fontId="6" type="noConversion"/>
  </si>
  <si>
    <r>
      <t>巷道倾角</t>
    </r>
    <r>
      <rPr>
        <b/>
        <sz val="10"/>
        <rFont val="Times New Roman"/>
        <family val="1"/>
      </rPr>
      <t>(</t>
    </r>
    <r>
      <rPr>
        <b/>
        <sz val="10"/>
        <rFont val="宋体"/>
        <family val="3"/>
        <charset val="134"/>
      </rPr>
      <t>度</t>
    </r>
    <r>
      <rPr>
        <b/>
        <sz val="10"/>
        <rFont val="Times New Roman"/>
        <family val="1"/>
      </rPr>
      <t>)</t>
    </r>
    <phoneticPr fontId="6" type="noConversion"/>
  </si>
  <si>
    <r>
      <t>巷道长度</t>
    </r>
    <r>
      <rPr>
        <b/>
        <sz val="10"/>
        <rFont val="Times New Roman"/>
        <family val="1"/>
      </rPr>
      <t>(m)</t>
    </r>
    <phoneticPr fontId="6" type="noConversion"/>
  </si>
  <si>
    <r>
      <t>硐室掘进体积</t>
    </r>
    <r>
      <rPr>
        <b/>
        <sz val="10"/>
        <rFont val="Times New Roman"/>
        <family val="1"/>
      </rPr>
      <t>(m3)</t>
    </r>
    <phoneticPr fontId="6" type="noConversion"/>
  </si>
  <si>
    <t>开工日期</t>
  </si>
  <si>
    <t>竣工年月</t>
    <phoneticPr fontId="6" type="noConversion"/>
  </si>
  <si>
    <t>尚可使用年限</t>
    <phoneticPr fontId="6" type="noConversion"/>
  </si>
  <si>
    <t>该井项已经开采储量(万吨）</t>
    <phoneticPr fontId="6" type="noConversion"/>
  </si>
  <si>
    <t>该井巷尚可开采储量(保有储量）（万吨）</t>
    <phoneticPr fontId="6" type="noConversion"/>
  </si>
  <si>
    <t>标记</t>
    <phoneticPr fontId="6" type="noConversion"/>
  </si>
  <si>
    <t>审计前帐面价值</t>
    <phoneticPr fontId="6" type="noConversion"/>
  </si>
  <si>
    <t>审计调整值</t>
    <phoneticPr fontId="6" type="noConversion"/>
  </si>
  <si>
    <t>账面价值</t>
    <phoneticPr fontId="6" type="noConversion"/>
  </si>
  <si>
    <t>评估值</t>
  </si>
  <si>
    <r>
      <t>增减率</t>
    </r>
    <r>
      <rPr>
        <b/>
        <sz val="10"/>
        <rFont val="Times New Roman"/>
        <family val="1"/>
      </rPr>
      <t>%</t>
    </r>
  </si>
  <si>
    <t>评估单价</t>
  </si>
  <si>
    <t>备注</t>
  </si>
  <si>
    <t>重量（吨）</t>
    <phoneticPr fontId="6" type="noConversion"/>
  </si>
  <si>
    <r>
      <t>长度</t>
    </r>
    <r>
      <rPr>
        <b/>
        <sz val="10"/>
        <rFont val="Times New Roman"/>
        <family val="1"/>
      </rPr>
      <t>(m)</t>
    </r>
    <phoneticPr fontId="6" type="noConversion"/>
  </si>
  <si>
    <r>
      <t>数量</t>
    </r>
    <r>
      <rPr>
        <b/>
        <sz val="10"/>
        <rFont val="Times New Roman"/>
        <family val="1"/>
      </rPr>
      <t xml:space="preserve">  </t>
    </r>
    <r>
      <rPr>
        <b/>
        <sz val="10"/>
        <rFont val="宋体"/>
        <family val="3"/>
        <charset val="134"/>
      </rPr>
      <t>（根</t>
    </r>
    <r>
      <rPr>
        <b/>
        <sz val="10"/>
        <rFont val="Times New Roman"/>
        <family val="1"/>
      </rPr>
      <t>/m</t>
    </r>
    <r>
      <rPr>
        <b/>
        <sz val="10"/>
        <rFont val="宋体"/>
        <family val="3"/>
        <charset val="134"/>
      </rPr>
      <t>）</t>
    </r>
    <phoneticPr fontId="6" type="noConversion"/>
  </si>
  <si>
    <t>数量  (根/m)</t>
    <phoneticPr fontId="6" type="noConversion"/>
  </si>
  <si>
    <t>塑料网（30*1.5m）</t>
    <phoneticPr fontId="6" type="noConversion"/>
  </si>
  <si>
    <t>菱形金属网</t>
    <phoneticPr fontId="6" type="noConversion"/>
  </si>
  <si>
    <t>φ4金属网（3*1.7m）</t>
    <phoneticPr fontId="6" type="noConversion"/>
  </si>
  <si>
    <t>钢筋网</t>
    <phoneticPr fontId="6" type="noConversion"/>
  </si>
  <si>
    <t>地面制作井下绑扎</t>
    <phoneticPr fontId="6" type="noConversion"/>
  </si>
  <si>
    <t>重量</t>
    <phoneticPr fontId="6" type="noConversion"/>
  </si>
  <si>
    <t>数量</t>
    <phoneticPr fontId="6" type="noConversion"/>
  </si>
  <si>
    <t>9.0*1.0m</t>
    <phoneticPr fontId="6" type="noConversion"/>
  </si>
  <si>
    <t>1.0*2.0m</t>
    <phoneticPr fontId="6" type="noConversion"/>
  </si>
  <si>
    <t>宽度</t>
    <phoneticPr fontId="6" type="noConversion"/>
  </si>
  <si>
    <t>厚度</t>
    <phoneticPr fontId="6" type="noConversion"/>
  </si>
  <si>
    <r>
      <t>轨型</t>
    </r>
    <r>
      <rPr>
        <b/>
        <sz val="10"/>
        <rFont val="Times New Roman"/>
        <family val="1"/>
      </rPr>
      <t>kg/m</t>
    </r>
    <phoneticPr fontId="6" type="noConversion"/>
  </si>
  <si>
    <t>轨距㎜</t>
    <phoneticPr fontId="6" type="noConversion"/>
  </si>
  <si>
    <t>轨枕</t>
    <phoneticPr fontId="6" type="noConversion"/>
  </si>
  <si>
    <t>kg/根</t>
    <phoneticPr fontId="6" type="noConversion"/>
  </si>
  <si>
    <t>根/m</t>
    <phoneticPr fontId="6" type="noConversion"/>
  </si>
  <si>
    <r>
      <t>kg/</t>
    </r>
    <r>
      <rPr>
        <b/>
        <sz val="10"/>
        <rFont val="宋体"/>
        <family val="3"/>
        <charset val="134"/>
      </rPr>
      <t>张</t>
    </r>
    <phoneticPr fontId="6" type="noConversion"/>
  </si>
  <si>
    <t>t</t>
    <phoneticPr fontId="6" type="noConversion"/>
  </si>
  <si>
    <t>(M)</t>
    <phoneticPr fontId="6" type="noConversion"/>
  </si>
  <si>
    <t>原值</t>
  </si>
  <si>
    <t>净值</t>
  </si>
  <si>
    <t>原值</t>
    <phoneticPr fontId="6" type="noConversion"/>
  </si>
  <si>
    <t>净值</t>
    <phoneticPr fontId="6" type="noConversion"/>
  </si>
  <si>
    <t>成新率%</t>
    <phoneticPr fontId="6" type="noConversion"/>
  </si>
  <si>
    <t>资源储量</t>
    <phoneticPr fontId="6" type="noConversion"/>
  </si>
  <si>
    <t>采区回采率</t>
    <phoneticPr fontId="6" type="noConversion"/>
  </si>
  <si>
    <t>实际生产规模</t>
    <phoneticPr fontId="6" type="noConversion"/>
  </si>
  <si>
    <t>储量备用系数</t>
    <phoneticPr fontId="6" type="noConversion"/>
  </si>
  <si>
    <t>合计</t>
    <phoneticPr fontId="6" type="noConversion"/>
  </si>
  <si>
    <r>
      <t>表</t>
    </r>
    <r>
      <rPr>
        <b/>
        <sz val="10"/>
        <rFont val="Times New Roman"/>
        <family val="1"/>
      </rPr>
      <t>4-6-4</t>
    </r>
    <phoneticPr fontId="6" type="noConversion"/>
  </si>
  <si>
    <t xml:space="preserve">         固定资产--井巷工程清查评估明细表</t>
    <phoneticPr fontId="6" type="noConversion"/>
  </si>
  <si>
    <t>评估人员：</t>
  </si>
  <si>
    <t>评估机构：中联资产评估集团有限公司</t>
    <phoneticPr fontId="6" type="noConversion"/>
  </si>
  <si>
    <t>重置价值计算底稿</t>
  </si>
  <si>
    <t>重置价值</t>
  </si>
  <si>
    <t>寿命年限</t>
  </si>
  <si>
    <t>已使用年限</t>
  </si>
  <si>
    <t>尚可使用年限</t>
  </si>
  <si>
    <t>成新率</t>
  </si>
  <si>
    <t>设备单价(含税)</t>
  </si>
  <si>
    <t>无税购价</t>
  </si>
  <si>
    <t>运杂费率</t>
  </si>
  <si>
    <t>运杂费</t>
  </si>
  <si>
    <t>安装费率</t>
  </si>
  <si>
    <t>安装费</t>
  </si>
  <si>
    <t>其他费</t>
  </si>
  <si>
    <t>小计</t>
  </si>
  <si>
    <t>资金成本</t>
  </si>
  <si>
    <t>测算底稿</t>
  </si>
  <si>
    <t>重置价的构成</t>
  </si>
  <si>
    <t>年限成新率</t>
  </si>
  <si>
    <t>规定里程</t>
  </si>
  <si>
    <t>里程成新率</t>
  </si>
  <si>
    <t>取定成新率</t>
  </si>
  <si>
    <t>购置价</t>
  </si>
  <si>
    <t>附加税</t>
  </si>
  <si>
    <t>牌照费</t>
  </si>
  <si>
    <t>可抵扣增值税</t>
  </si>
  <si>
    <t>重置价</t>
  </si>
  <si>
    <t>购价(含税)</t>
  </si>
  <si>
    <t>数量</t>
  </si>
  <si>
    <t>不含税购价</t>
  </si>
  <si>
    <t>已用年限</t>
  </si>
  <si>
    <r>
      <rPr>
        <sz val="18"/>
        <rFont val="黑体"/>
        <family val="3"/>
        <charset val="134"/>
      </rPr>
      <t>固定资产</t>
    </r>
    <r>
      <rPr>
        <sz val="18"/>
        <rFont val="Times New Roman"/>
        <family val="1"/>
      </rPr>
      <t>—</t>
    </r>
    <r>
      <rPr>
        <sz val="18"/>
        <rFont val="黑体"/>
        <family val="3"/>
        <charset val="134"/>
      </rPr>
      <t>机器设备评估明细表</t>
    </r>
  </si>
  <si>
    <t>计提跌价准备金额</t>
    <phoneticPr fontId="131" type="noConversion"/>
  </si>
  <si>
    <t>存放地点</t>
    <phoneticPr fontId="131" type="noConversion"/>
  </si>
  <si>
    <t>单价</t>
    <phoneticPr fontId="131" type="noConversion"/>
  </si>
  <si>
    <t>寿命（年）</t>
    <phoneticPr fontId="131" type="noConversion"/>
  </si>
  <si>
    <t>已用年限</t>
    <phoneticPr fontId="131" type="noConversion"/>
  </si>
  <si>
    <t>尚可使用年限</t>
    <phoneticPr fontId="131" type="noConversion"/>
  </si>
  <si>
    <t>成新率</t>
    <phoneticPr fontId="131" type="noConversion"/>
  </si>
  <si>
    <t>m2</t>
  </si>
  <si>
    <t>使用单位</t>
    <phoneticPr fontId="6" type="noConversion"/>
  </si>
  <si>
    <t>台</t>
    <phoneticPr fontId="6" type="noConversion"/>
  </si>
  <si>
    <t>辆</t>
    <phoneticPr fontId="6" type="noConversion"/>
  </si>
  <si>
    <t>含税单价</t>
  </si>
  <si>
    <r>
      <t>成新率</t>
    </r>
    <r>
      <rPr>
        <sz val="10"/>
        <rFont val="Times New Roman"/>
        <family val="1"/>
      </rPr>
      <t>%</t>
    </r>
    <phoneticPr fontId="6" type="noConversion"/>
  </si>
  <si>
    <t>审计调整</t>
    <phoneticPr fontId="6" type="noConversion"/>
  </si>
  <si>
    <t>存放地点</t>
    <phoneticPr fontId="6" type="noConversion"/>
  </si>
  <si>
    <t>产品销售费率</t>
    <phoneticPr fontId="6" type="noConversion"/>
  </si>
  <si>
    <t>产品销售税金及附加费率</t>
    <phoneticPr fontId="6" type="noConversion"/>
  </si>
  <si>
    <t>营业利润率</t>
    <phoneticPr fontId="6" type="noConversion"/>
  </si>
  <si>
    <r>
      <rPr>
        <sz val="10"/>
        <color indexed="8"/>
        <rFont val="宋体"/>
        <family val="3"/>
        <charset val="134"/>
      </rPr>
      <t>不含税售价</t>
    </r>
    <r>
      <rPr>
        <sz val="10"/>
        <color indexed="8"/>
        <rFont val="Times New Roman"/>
        <family val="1"/>
      </rPr>
      <t>×[1-</t>
    </r>
    <r>
      <rPr>
        <sz val="10"/>
        <color indexed="8"/>
        <rFont val="宋体"/>
        <family val="3"/>
        <charset val="134"/>
      </rPr>
      <t>销售费用率</t>
    </r>
    <r>
      <rPr>
        <sz val="10"/>
        <color indexed="8"/>
        <rFont val="Times New Roman"/>
        <family val="1"/>
      </rPr>
      <t>-</t>
    </r>
    <r>
      <rPr>
        <sz val="10"/>
        <color indexed="8"/>
        <rFont val="宋体"/>
        <family val="3"/>
        <charset val="134"/>
      </rPr>
      <t>销售税金率</t>
    </r>
    <r>
      <rPr>
        <sz val="10"/>
        <color indexed="8"/>
        <rFont val="Times New Roman"/>
        <family val="1"/>
      </rPr>
      <t>-</t>
    </r>
    <r>
      <rPr>
        <sz val="10"/>
        <color indexed="8"/>
        <rFont val="宋体"/>
        <family val="3"/>
        <charset val="134"/>
      </rPr>
      <t>营业利润率</t>
    </r>
    <r>
      <rPr>
        <sz val="10"/>
        <color indexed="8"/>
        <rFont val="Times New Roman"/>
        <family val="1"/>
      </rPr>
      <t>×</t>
    </r>
    <r>
      <rPr>
        <sz val="10"/>
        <color indexed="8"/>
        <rFont val="宋体"/>
        <family val="3"/>
        <charset val="134"/>
      </rPr>
      <t>所得税率</t>
    </r>
    <r>
      <rPr>
        <sz val="10"/>
        <color indexed="8"/>
        <rFont val="Times New Roman"/>
        <family val="1"/>
      </rPr>
      <t>-</t>
    </r>
    <r>
      <rPr>
        <sz val="10"/>
        <color indexed="8"/>
        <rFont val="宋体"/>
        <family val="3"/>
        <charset val="134"/>
      </rPr>
      <t>营业利润率</t>
    </r>
    <r>
      <rPr>
        <sz val="10"/>
        <color indexed="8"/>
        <rFont val="Times New Roman"/>
        <family val="1"/>
      </rPr>
      <t>×</t>
    </r>
    <r>
      <rPr>
        <sz val="10"/>
        <color indexed="8"/>
        <rFont val="宋体"/>
        <family val="3"/>
        <charset val="134"/>
      </rPr>
      <t>（</t>
    </r>
    <r>
      <rPr>
        <sz val="10"/>
        <color indexed="8"/>
        <rFont val="Times New Roman"/>
        <family val="1"/>
      </rPr>
      <t>1-</t>
    </r>
    <r>
      <rPr>
        <sz val="10"/>
        <color indexed="8"/>
        <rFont val="宋体"/>
        <family val="3"/>
        <charset val="134"/>
      </rPr>
      <t>所得税率）</t>
    </r>
    <r>
      <rPr>
        <sz val="10"/>
        <color indexed="8"/>
        <rFont val="Times New Roman"/>
        <family val="1"/>
      </rPr>
      <t>×r]</t>
    </r>
    <phoneticPr fontId="6" type="noConversion"/>
  </si>
  <si>
    <t>含税询价</t>
    <phoneticPr fontId="6" type="noConversion"/>
  </si>
  <si>
    <t>不含税售价(1-8月份平均单价)</t>
    <phoneticPr fontId="6" type="noConversion"/>
  </si>
  <si>
    <t>评估单价</t>
    <phoneticPr fontId="6" type="noConversion"/>
  </si>
  <si>
    <r>
      <rPr>
        <sz val="10"/>
        <color indexed="8"/>
        <rFont val="宋体"/>
        <family val="3"/>
        <charset val="134"/>
      </rPr>
      <t>评估价值计算公式为</t>
    </r>
    <r>
      <rPr>
        <sz val="10"/>
        <color indexed="8"/>
        <rFont val="Times New Roman"/>
        <family val="1"/>
      </rPr>
      <t>:</t>
    </r>
    <phoneticPr fontId="6" type="noConversion"/>
  </si>
  <si>
    <r>
      <rPr>
        <sz val="10"/>
        <color indexed="8"/>
        <rFont val="宋体"/>
        <family val="3"/>
        <charset val="134"/>
      </rPr>
      <t>销售费用率</t>
    </r>
    <r>
      <rPr>
        <sz val="10"/>
        <color indexed="8"/>
        <rFont val="Times New Roman"/>
        <family val="1"/>
      </rPr>
      <t>=</t>
    </r>
    <r>
      <rPr>
        <sz val="10"/>
        <color indexed="8"/>
        <rFont val="宋体"/>
        <family val="3"/>
        <charset val="134"/>
      </rPr>
      <t>产品销售费用</t>
    </r>
    <r>
      <rPr>
        <sz val="10"/>
        <color indexed="8"/>
        <rFont val="Times New Roman"/>
        <family val="1"/>
      </rPr>
      <t>÷</t>
    </r>
    <r>
      <rPr>
        <sz val="10"/>
        <color indexed="8"/>
        <rFont val="宋体"/>
        <family val="3"/>
        <charset val="134"/>
      </rPr>
      <t>产品销售收入</t>
    </r>
  </si>
  <si>
    <r>
      <rPr>
        <sz val="10"/>
        <color indexed="8"/>
        <rFont val="宋体"/>
        <family val="3"/>
        <charset val="134"/>
      </rPr>
      <t>产品销售税金及附加费率</t>
    </r>
    <r>
      <rPr>
        <sz val="10"/>
        <color indexed="8"/>
        <rFont val="Times New Roman"/>
        <family val="1"/>
      </rPr>
      <t>=</t>
    </r>
    <r>
      <rPr>
        <sz val="10"/>
        <color indexed="8"/>
        <rFont val="宋体"/>
        <family val="3"/>
        <charset val="134"/>
      </rPr>
      <t>产品销售税金及附加</t>
    </r>
    <r>
      <rPr>
        <sz val="10"/>
        <color indexed="8"/>
        <rFont val="Times New Roman"/>
        <family val="1"/>
      </rPr>
      <t>÷</t>
    </r>
    <r>
      <rPr>
        <sz val="10"/>
        <color indexed="8"/>
        <rFont val="宋体"/>
        <family val="3"/>
        <charset val="134"/>
      </rPr>
      <t>产品销售收入</t>
    </r>
    <phoneticPr fontId="6" type="noConversion"/>
  </si>
  <si>
    <r>
      <rPr>
        <sz val="10"/>
        <color indexed="8"/>
        <rFont val="宋体"/>
        <family val="3"/>
        <charset val="134"/>
      </rPr>
      <t>营业利润率</t>
    </r>
    <r>
      <rPr>
        <sz val="10"/>
        <color indexed="8"/>
        <rFont val="Times New Roman"/>
        <family val="1"/>
      </rPr>
      <t>=</t>
    </r>
    <r>
      <rPr>
        <sz val="10"/>
        <color indexed="8"/>
        <rFont val="宋体"/>
        <family val="3"/>
        <charset val="134"/>
      </rPr>
      <t>营业利润</t>
    </r>
    <r>
      <rPr>
        <sz val="10"/>
        <color indexed="8"/>
        <rFont val="Times New Roman"/>
        <family val="1"/>
      </rPr>
      <t>÷</t>
    </r>
    <r>
      <rPr>
        <sz val="10"/>
        <color indexed="8"/>
        <rFont val="宋体"/>
        <family val="3"/>
        <charset val="134"/>
      </rPr>
      <t>产品销售收入</t>
    </r>
  </si>
  <si>
    <r>
      <t>2012</t>
    </r>
    <r>
      <rPr>
        <sz val="10"/>
        <rFont val="宋体"/>
        <family val="3"/>
        <charset val="134"/>
      </rPr>
      <t>年</t>
    </r>
    <phoneticPr fontId="6" type="noConversion"/>
  </si>
  <si>
    <r>
      <t>2013</t>
    </r>
    <r>
      <rPr>
        <sz val="10"/>
        <rFont val="宋体"/>
        <family val="3"/>
        <charset val="134"/>
      </rPr>
      <t>年</t>
    </r>
    <phoneticPr fontId="6" type="noConversion"/>
  </si>
  <si>
    <r>
      <t>2014</t>
    </r>
    <r>
      <rPr>
        <sz val="10"/>
        <rFont val="宋体"/>
        <family val="3"/>
        <charset val="134"/>
      </rPr>
      <t>年</t>
    </r>
    <r>
      <rPr>
        <sz val="10"/>
        <rFont val="Times New Roman"/>
        <family val="1"/>
      </rPr>
      <t>1-6</t>
    </r>
    <r>
      <rPr>
        <sz val="10"/>
        <rFont val="宋体"/>
        <family val="3"/>
        <charset val="134"/>
      </rPr>
      <t>月</t>
    </r>
    <phoneticPr fontId="6" type="noConversion"/>
  </si>
  <si>
    <t>剔除平均</t>
    <phoneticPr fontId="6" type="noConversion"/>
  </si>
  <si>
    <r>
      <rPr>
        <sz val="10"/>
        <color indexed="8"/>
        <rFont val="宋体"/>
        <family val="3"/>
        <charset val="134"/>
      </rPr>
      <t>营业收入</t>
    </r>
    <phoneticPr fontId="6" type="noConversion"/>
  </si>
  <si>
    <r>
      <rPr>
        <sz val="10"/>
        <color indexed="8"/>
        <rFont val="宋体"/>
        <family val="3"/>
        <charset val="134"/>
      </rPr>
      <t>产品销售费率＝</t>
    </r>
    <phoneticPr fontId="6" type="noConversion"/>
  </si>
  <si>
    <r>
      <rPr>
        <sz val="10"/>
        <color indexed="8"/>
        <rFont val="宋体"/>
        <family val="3"/>
        <charset val="134"/>
      </rPr>
      <t>主营业务成本</t>
    </r>
    <phoneticPr fontId="6" type="noConversion"/>
  </si>
  <si>
    <r>
      <rPr>
        <sz val="10"/>
        <color indexed="8"/>
        <rFont val="宋体"/>
        <family val="3"/>
        <charset val="134"/>
      </rPr>
      <t>产品销售税金及附加费率＝</t>
    </r>
    <phoneticPr fontId="6" type="noConversion"/>
  </si>
  <si>
    <r>
      <rPr>
        <sz val="10"/>
        <color indexed="8"/>
        <rFont val="宋体"/>
        <family val="3"/>
        <charset val="134"/>
      </rPr>
      <t>营业税金及附加</t>
    </r>
    <phoneticPr fontId="6" type="noConversion"/>
  </si>
  <si>
    <r>
      <rPr>
        <sz val="10"/>
        <color indexed="8"/>
        <rFont val="宋体"/>
        <family val="3"/>
        <charset val="134"/>
      </rPr>
      <t>营业利润率＝</t>
    </r>
    <phoneticPr fontId="6" type="noConversion"/>
  </si>
  <si>
    <r>
      <rPr>
        <sz val="10"/>
        <color indexed="8"/>
        <rFont val="宋体"/>
        <family val="3"/>
        <charset val="134"/>
      </rPr>
      <t>销售费用</t>
    </r>
    <phoneticPr fontId="6" type="noConversion"/>
  </si>
  <si>
    <r>
      <rPr>
        <sz val="10"/>
        <color indexed="8"/>
        <rFont val="宋体"/>
        <family val="3"/>
        <charset val="134"/>
      </rPr>
      <t>管理费用</t>
    </r>
    <phoneticPr fontId="6" type="noConversion"/>
  </si>
  <si>
    <r>
      <rPr>
        <sz val="10"/>
        <color indexed="8"/>
        <rFont val="宋体"/>
        <family val="3"/>
        <charset val="134"/>
      </rPr>
      <t>税后利润扣除率</t>
    </r>
    <r>
      <rPr>
        <sz val="10"/>
        <color indexed="8"/>
        <rFont val="Times New Roman"/>
        <family val="1"/>
      </rPr>
      <t>R=</t>
    </r>
    <phoneticPr fontId="6" type="noConversion"/>
  </si>
  <si>
    <t>财务费用</t>
    <phoneticPr fontId="6" type="noConversion"/>
  </si>
  <si>
    <t>营业利润</t>
    <phoneticPr fontId="6" type="noConversion"/>
  </si>
  <si>
    <r>
      <rPr>
        <sz val="10"/>
        <color indexed="8"/>
        <rFont val="宋体"/>
        <family val="3"/>
        <charset val="134"/>
      </rPr>
      <t>所得税率</t>
    </r>
    <phoneticPr fontId="6" type="noConversion"/>
  </si>
  <si>
    <t>经济年限</t>
    <phoneticPr fontId="6" type="noConversion"/>
  </si>
  <si>
    <t>含税合价</t>
    <phoneticPr fontId="6" type="noConversion"/>
  </si>
  <si>
    <t>不含税合价</t>
    <phoneticPr fontId="6" type="noConversion"/>
  </si>
  <si>
    <t>运费率</t>
    <phoneticPr fontId="6" type="noConversion"/>
  </si>
  <si>
    <t>运费</t>
    <phoneticPr fontId="6" type="noConversion"/>
  </si>
  <si>
    <t>安装费率</t>
    <phoneticPr fontId="6" type="noConversion"/>
  </si>
  <si>
    <t>安装费</t>
    <phoneticPr fontId="6" type="noConversion"/>
  </si>
  <si>
    <t>前期费用</t>
    <phoneticPr fontId="6" type="noConversion"/>
  </si>
  <si>
    <t>成新率</t>
    <phoneticPr fontId="6" type="noConversion"/>
  </si>
  <si>
    <t>含税运费</t>
    <phoneticPr fontId="6" type="noConversion"/>
  </si>
  <si>
    <t>污水处理站COD自动监控系统基站</t>
  </si>
  <si>
    <t>污水处理站清水池</t>
  </si>
  <si>
    <t>格栅井</t>
  </si>
  <si>
    <t>预沉池</t>
  </si>
  <si>
    <t>回流水槽基础</t>
  </si>
  <si>
    <t>二沉池</t>
  </si>
  <si>
    <t>中间水池</t>
  </si>
  <si>
    <t>加药间</t>
  </si>
  <si>
    <t>污泥压榨间</t>
  </si>
  <si>
    <t>耗氧池</t>
  </si>
  <si>
    <t>新建食堂</t>
  </si>
  <si>
    <t>营业厅办公楼、食堂附属工程</t>
  </si>
  <si>
    <t>理瓶机雨棚</t>
  </si>
  <si>
    <t>二氧化碳回收间</t>
  </si>
  <si>
    <t>新增锅炉煤棚项目</t>
  </si>
  <si>
    <t>洁净间</t>
  </si>
  <si>
    <t>门卫室</t>
  </si>
  <si>
    <t>钢屋架车棚</t>
  </si>
  <si>
    <t>垃圾池</t>
  </si>
  <si>
    <t>隔离桩</t>
  </si>
  <si>
    <t>酵母干燥间</t>
  </si>
  <si>
    <t>污泥沉淀池</t>
  </si>
  <si>
    <t>空压机房</t>
  </si>
  <si>
    <t>环保化验室</t>
  </si>
  <si>
    <t>厌氧池</t>
  </si>
  <si>
    <t>1号井房</t>
  </si>
  <si>
    <t>2#井房</t>
  </si>
  <si>
    <t>3#井房</t>
  </si>
  <si>
    <t>职工食堂</t>
  </si>
  <si>
    <t>PET洁净室</t>
  </si>
  <si>
    <t>配电房</t>
  </si>
  <si>
    <t>制冷房</t>
  </si>
  <si>
    <t>糖化楼</t>
  </si>
  <si>
    <t>化验楼</t>
  </si>
  <si>
    <t>酵母扩培室</t>
  </si>
  <si>
    <t>成品库</t>
  </si>
  <si>
    <t>炒麦房</t>
  </si>
  <si>
    <t>围墙</t>
  </si>
  <si>
    <t>瓶池</t>
  </si>
  <si>
    <t>排水渠道</t>
  </si>
  <si>
    <t>污水管道</t>
  </si>
  <si>
    <t>雨水管道</t>
  </si>
  <si>
    <t>厂区照明设备（基础设施）</t>
  </si>
  <si>
    <t>瓶库办公室</t>
  </si>
  <si>
    <t>厂区所有设备基础</t>
  </si>
  <si>
    <t>厕所（1）</t>
  </si>
  <si>
    <t>厕所（2）</t>
  </si>
  <si>
    <t>磅房</t>
  </si>
  <si>
    <t>锅炉房</t>
  </si>
  <si>
    <t>CIP自控系统</t>
  </si>
  <si>
    <t>过滤槽监控、配比水控制柜</t>
  </si>
  <si>
    <t>麦芽去石机</t>
  </si>
  <si>
    <t>真空泵</t>
  </si>
  <si>
    <t>洗箱机</t>
  </si>
  <si>
    <t>振荡生化培养箱</t>
  </si>
  <si>
    <t>冰箱</t>
  </si>
  <si>
    <t>精密净化交流稳压器</t>
  </si>
  <si>
    <t>索式抽提机</t>
  </si>
  <si>
    <t>酒花粉碎机</t>
  </si>
  <si>
    <t>PH酸度计</t>
  </si>
  <si>
    <t>大米粉碎机</t>
  </si>
  <si>
    <t>回旋振荡器</t>
  </si>
  <si>
    <t>定氮+8孔消化炉</t>
  </si>
  <si>
    <t>啤酒保质期实验仪</t>
  </si>
  <si>
    <t>高速离心机</t>
  </si>
  <si>
    <t>显微镜</t>
  </si>
  <si>
    <t>酒机CIP罐</t>
  </si>
  <si>
    <t>糖化水罐</t>
  </si>
  <si>
    <t>除沫器</t>
  </si>
  <si>
    <t>洗涤塔</t>
  </si>
  <si>
    <t>CO2压缩机</t>
  </si>
  <si>
    <t>冷干机</t>
  </si>
  <si>
    <t>吸附式干燥塔</t>
  </si>
  <si>
    <t>制冷机</t>
  </si>
  <si>
    <t>CO2提纯塔</t>
  </si>
  <si>
    <t>VPN</t>
  </si>
  <si>
    <t>GA90VSD-13</t>
  </si>
  <si>
    <t>15吨/小时</t>
  </si>
  <si>
    <t>SIEMENS&amp;翔宇</t>
  </si>
  <si>
    <t>TBLM-521</t>
  </si>
  <si>
    <t>TQSF126</t>
  </si>
  <si>
    <t>ZBV5161-OKC02-7P</t>
  </si>
  <si>
    <t>RKZX2300</t>
  </si>
  <si>
    <t>LRH-250A</t>
  </si>
  <si>
    <t>SPX-250B-Z</t>
  </si>
  <si>
    <t>BCD-180TKD</t>
  </si>
  <si>
    <t>JJW-3000VA</t>
  </si>
  <si>
    <t>SHA-C</t>
  </si>
  <si>
    <t>SXT-06</t>
  </si>
  <si>
    <t>FW100</t>
  </si>
  <si>
    <t>LDZX-75KB</t>
  </si>
  <si>
    <t>FE20K</t>
  </si>
  <si>
    <t>FW135</t>
  </si>
  <si>
    <t>HH-8</t>
  </si>
  <si>
    <t>HY-5</t>
  </si>
  <si>
    <t>QJ-A型</t>
  </si>
  <si>
    <t>GZX-9240MBE</t>
  </si>
  <si>
    <t>KDN-0F+HYP-1008</t>
  </si>
  <si>
    <t>XT5204-D24-BS40</t>
  </si>
  <si>
    <t>ZLSC-5</t>
  </si>
  <si>
    <t>LG10-2.4A</t>
  </si>
  <si>
    <t>XSP-2C</t>
  </si>
  <si>
    <t>50m³</t>
  </si>
  <si>
    <t>1m³</t>
  </si>
  <si>
    <t>10m³</t>
  </si>
  <si>
    <t>65m³</t>
  </si>
  <si>
    <t>NL0-600A</t>
  </si>
  <si>
    <t>36m³</t>
  </si>
  <si>
    <t>LW-3/20</t>
  </si>
  <si>
    <t>HSN6451-40-40P</t>
  </si>
  <si>
    <t>360kg/h</t>
  </si>
  <si>
    <t>ZZYM-40B</t>
  </si>
  <si>
    <t>LBCM80</t>
  </si>
  <si>
    <t>EST-2001B</t>
  </si>
  <si>
    <t>DR智能型</t>
  </si>
  <si>
    <t>EST-2000E</t>
  </si>
  <si>
    <t>100WQ65-15-5.5</t>
  </si>
  <si>
    <t>￠2×4.5（H）m</t>
  </si>
  <si>
    <t>80WL43-13-3</t>
  </si>
  <si>
    <t>￠0.62*1.2（H)M</t>
  </si>
  <si>
    <t>50WL25-10-1.5</t>
  </si>
  <si>
    <t>DN125</t>
  </si>
  <si>
    <t>GWL-50</t>
  </si>
  <si>
    <t>KLCS-500</t>
  </si>
  <si>
    <t>KLR612</t>
  </si>
  <si>
    <t>QJB4/6</t>
  </si>
  <si>
    <t>50WQ10-10-0.75</t>
  </si>
  <si>
    <t>AHJ-Ⅱ</t>
  </si>
  <si>
    <t>CF-40T</t>
  </si>
  <si>
    <t>ZW-508</t>
  </si>
  <si>
    <t>KZJ-SST-2</t>
  </si>
  <si>
    <t>CBLHO-THFX46</t>
  </si>
  <si>
    <t>30t/hr</t>
  </si>
  <si>
    <t>0-7.2L/h</t>
  </si>
  <si>
    <t>Q=80m3/h</t>
  </si>
  <si>
    <t>330ml</t>
  </si>
  <si>
    <t>OPT 390 MT</t>
  </si>
  <si>
    <t>JXFST-111</t>
  </si>
  <si>
    <t>1750*850*700</t>
  </si>
  <si>
    <t>ECP400B-16-268-37FF</t>
  </si>
  <si>
    <t>IPM100-100-80/2, 流量100，扬程80M</t>
  </si>
  <si>
    <t>Q=130m3 h=40m</t>
  </si>
  <si>
    <t>MJ-EBI-L24</t>
  </si>
  <si>
    <t>KCJ-1</t>
  </si>
  <si>
    <t>GPT-1</t>
  </si>
  <si>
    <t>ZPY-10A</t>
  </si>
  <si>
    <t>DHY-1</t>
  </si>
  <si>
    <t>GJ-1</t>
  </si>
  <si>
    <t>DCP-NPY5600</t>
  </si>
  <si>
    <t>ZSD-3</t>
  </si>
  <si>
    <t>HD  6/15C</t>
  </si>
  <si>
    <t>LDZ5-2</t>
  </si>
  <si>
    <t>100m³</t>
  </si>
  <si>
    <t>2400P/H</t>
  </si>
  <si>
    <t>SX/2.4</t>
  </si>
  <si>
    <t>XP-40</t>
  </si>
  <si>
    <t>ZP72/2</t>
  </si>
  <si>
    <t>SP/2.4-WJ.B</t>
  </si>
  <si>
    <t>ZYKD/2.4</t>
  </si>
  <si>
    <t>SP/2.4-PA</t>
  </si>
  <si>
    <t>SP/2.4-PB</t>
  </si>
  <si>
    <t>VVF-60/70</t>
  </si>
  <si>
    <t>15立方</t>
  </si>
  <si>
    <t>KOSME-60</t>
  </si>
  <si>
    <t>ZP72/12</t>
  </si>
  <si>
    <t>HG5500S</t>
  </si>
  <si>
    <t>LXJ-3 241P-34110</t>
  </si>
  <si>
    <t>LUGB-2305-1290T</t>
  </si>
  <si>
    <t>DG12-25×9</t>
  </si>
  <si>
    <t>30立方</t>
  </si>
  <si>
    <t>PGL-26</t>
  </si>
  <si>
    <t>LSLGF1000Ⅱ</t>
  </si>
  <si>
    <t>LBCM-300</t>
  </si>
  <si>
    <t>HAD-20HTF</t>
  </si>
  <si>
    <t>XJ01-45/380</t>
  </si>
  <si>
    <t>XJ01-30/381</t>
  </si>
  <si>
    <t>SB200-315</t>
  </si>
  <si>
    <t>SB125-200</t>
  </si>
  <si>
    <t>SB100-200</t>
  </si>
  <si>
    <t>SB80-160</t>
  </si>
  <si>
    <t>15立方/2.5MPa</t>
  </si>
  <si>
    <t>205立方</t>
  </si>
  <si>
    <t>85立方</t>
  </si>
  <si>
    <t>F6.3</t>
  </si>
  <si>
    <t>S9-1250KVA</t>
  </si>
  <si>
    <t>S9-1000KVA</t>
  </si>
  <si>
    <t>GG-1AF-07</t>
  </si>
  <si>
    <t>GG-1AF-55</t>
  </si>
  <si>
    <t>GG-1AF-03</t>
  </si>
  <si>
    <t>GG-1AF-04</t>
  </si>
  <si>
    <t>GGD3-02</t>
  </si>
  <si>
    <t>GG-J1-01</t>
  </si>
  <si>
    <t>GGDZ-38</t>
  </si>
  <si>
    <t>GGD</t>
  </si>
  <si>
    <t>GG-1A</t>
  </si>
  <si>
    <t>GGJ</t>
  </si>
  <si>
    <t>SWCJ-B</t>
  </si>
  <si>
    <t>FA2104</t>
  </si>
  <si>
    <t>YQ-PJ-6B</t>
  </si>
  <si>
    <t>ZF</t>
  </si>
  <si>
    <t>ISD</t>
  </si>
  <si>
    <t>TIG300</t>
  </si>
  <si>
    <t>BXI-250</t>
  </si>
  <si>
    <t>DTG400/200H12.7</t>
  </si>
  <si>
    <t>8立方</t>
  </si>
  <si>
    <t>IPM4080K(50)</t>
  </si>
  <si>
    <t>ECS6002SGNW50H4</t>
  </si>
  <si>
    <t>W-YTJ-170L</t>
  </si>
  <si>
    <t>W-YTJ-120B</t>
  </si>
  <si>
    <t>3立方</t>
  </si>
  <si>
    <t>PGL-28</t>
  </si>
  <si>
    <t>XJ-21-4P</t>
  </si>
  <si>
    <t>XJ-21-2P</t>
  </si>
  <si>
    <t>MSG-A16K</t>
  </si>
  <si>
    <t>LUGB-2415-1201</t>
  </si>
  <si>
    <t>LUGB 2304-1290</t>
  </si>
  <si>
    <t>LUGB 2405-1201</t>
  </si>
  <si>
    <t>SMG-A08B</t>
  </si>
  <si>
    <t>31立方</t>
  </si>
  <si>
    <t>48立方</t>
  </si>
  <si>
    <t>50立方</t>
  </si>
  <si>
    <t>75立方</t>
  </si>
  <si>
    <t>DTG400/201H13.6</t>
  </si>
  <si>
    <t>66立方</t>
  </si>
  <si>
    <t>IFM4080K(100)</t>
  </si>
  <si>
    <t>TQLZ100×200</t>
  </si>
  <si>
    <t>TLSS25</t>
  </si>
  <si>
    <t>8.4立方</t>
  </si>
  <si>
    <t>SB65-160I</t>
  </si>
  <si>
    <t>SB80-160I</t>
  </si>
  <si>
    <t>150ZWL200-15</t>
  </si>
  <si>
    <t>SB65-125I</t>
  </si>
  <si>
    <t>SBR200-315IB</t>
  </si>
  <si>
    <t>SB125-125A</t>
  </si>
  <si>
    <t>SBR100-200</t>
  </si>
  <si>
    <t>SBH65-160I</t>
  </si>
  <si>
    <t>SBH80-200B</t>
  </si>
  <si>
    <t>A085</t>
  </si>
  <si>
    <t>1.5立方</t>
  </si>
  <si>
    <t>147立方</t>
  </si>
  <si>
    <t>TBLM52-1</t>
  </si>
  <si>
    <t>CS45HDN65LAB</t>
  </si>
  <si>
    <t>PGL-36</t>
  </si>
  <si>
    <t>XJ01-30/380</t>
  </si>
  <si>
    <t>XJ01-75</t>
  </si>
  <si>
    <t>4-72-5.0A</t>
  </si>
  <si>
    <t>XL-21</t>
  </si>
  <si>
    <t>YBK-45-1</t>
  </si>
  <si>
    <t>500立方</t>
  </si>
  <si>
    <t>160立方</t>
  </si>
  <si>
    <t>ALD-70</t>
  </si>
  <si>
    <t>OPTIFLUX4100W(100)</t>
  </si>
  <si>
    <t>4-72-4.5A</t>
  </si>
  <si>
    <t>HYL80-200</t>
  </si>
  <si>
    <t>IRG65-160IB</t>
  </si>
  <si>
    <t>YAH-15-36-40</t>
  </si>
  <si>
    <t>GZ65-50-160/3</t>
  </si>
  <si>
    <t>CHLK2-40LSWSC</t>
  </si>
  <si>
    <t>HHB25-11-200</t>
  </si>
  <si>
    <t>HHB25-7.5-174</t>
  </si>
  <si>
    <t>JGL-50</t>
  </si>
  <si>
    <t>16立方</t>
  </si>
  <si>
    <t>HHB25-15-210</t>
  </si>
  <si>
    <t>3HFHS-4GA4H4</t>
  </si>
  <si>
    <t>IFM4080K(80)</t>
  </si>
  <si>
    <t>De-light200/h</t>
  </si>
  <si>
    <t>ALD-80</t>
  </si>
  <si>
    <t>15立方/H</t>
  </si>
  <si>
    <t>HHB35-7.5-200</t>
  </si>
  <si>
    <t>YBK-7.5-1</t>
  </si>
  <si>
    <t>直径0.8m*板厚8mm*高40m</t>
  </si>
  <si>
    <t>XP30E</t>
  </si>
  <si>
    <t>BCD-188/HC</t>
  </si>
  <si>
    <t>JBY-Ⅱ90</t>
  </si>
  <si>
    <t>ZXTM-40</t>
  </si>
  <si>
    <t>JDXX72-C</t>
  </si>
  <si>
    <t>KR360 450-2PAD</t>
  </si>
  <si>
    <t>1000*1100mm*800mm</t>
  </si>
  <si>
    <t>2150mm*1150mm*1250mm</t>
  </si>
  <si>
    <t>600mm*730mm*450mm</t>
  </si>
  <si>
    <t>1800mm*800mm*800mm</t>
  </si>
  <si>
    <t>1400mm*650mm*1430mm</t>
  </si>
  <si>
    <t>840mm*650mm*410mm</t>
  </si>
  <si>
    <t>80#220v</t>
  </si>
  <si>
    <t>750mm*450mm*620mm</t>
  </si>
  <si>
    <t>1035mm*650mm*1065mm</t>
  </si>
  <si>
    <t>30-35cm</t>
  </si>
  <si>
    <t>1800mm*600mm*800mm</t>
  </si>
  <si>
    <t>1500mm*500mm*1500mm</t>
  </si>
  <si>
    <t>1500mm*700mm*800mm</t>
  </si>
  <si>
    <t>450mm*760mm*760mm</t>
  </si>
  <si>
    <t>450mm*600mm*760mm</t>
  </si>
  <si>
    <t>1000mm*800mm*800mm</t>
  </si>
  <si>
    <t>2100mm*700mm*800mm</t>
  </si>
  <si>
    <t>23L</t>
  </si>
  <si>
    <t>1200mm*760mm*1800mm</t>
  </si>
  <si>
    <t>1810mm*760mm*1930mm</t>
  </si>
  <si>
    <t>T8000</t>
  </si>
  <si>
    <t>KFR568LA1-N</t>
  </si>
  <si>
    <t>KFR-35GW(35570)FNBa-3</t>
  </si>
  <si>
    <t>140*90</t>
  </si>
  <si>
    <t>TCP30</t>
  </si>
  <si>
    <t>CPCD25D</t>
  </si>
  <si>
    <t>CPCD25</t>
  </si>
  <si>
    <t>CBCD20D</t>
  </si>
  <si>
    <t>U8</t>
  </si>
  <si>
    <t>17-4790/4G/1T</t>
  </si>
  <si>
    <t>财税5代200</t>
  </si>
  <si>
    <t>AK-400</t>
  </si>
  <si>
    <t>DF-1004S(AVF-750)</t>
  </si>
  <si>
    <t>VPL-CS106</t>
  </si>
  <si>
    <t>APC 5KV SU5000UXICH</t>
  </si>
  <si>
    <t>三级防雷</t>
  </si>
  <si>
    <t>电脑</t>
    <phoneticPr fontId="6" type="noConversion"/>
  </si>
  <si>
    <t>启天M7150</t>
  </si>
  <si>
    <t>启天M710E</t>
  </si>
  <si>
    <t>730K</t>
  </si>
  <si>
    <t>LQ-2680K</t>
  </si>
  <si>
    <t>LQ730</t>
  </si>
  <si>
    <t>方正</t>
  </si>
  <si>
    <t>山特</t>
    <phoneticPr fontId="6" type="noConversion"/>
  </si>
  <si>
    <t>变频柜</t>
    <phoneticPr fontId="6" type="noConversion"/>
  </si>
  <si>
    <r>
      <rPr>
        <sz val="10"/>
        <rFont val="宋体"/>
        <family val="3"/>
        <charset val="134"/>
      </rPr>
      <t>含税部分</t>
    </r>
    <phoneticPr fontId="6" type="noConversion"/>
  </si>
  <si>
    <r>
      <rPr>
        <sz val="10"/>
        <rFont val="宋体"/>
        <family val="3"/>
        <charset val="134"/>
      </rPr>
      <t>不含税部分</t>
    </r>
    <phoneticPr fontId="6" type="noConversion"/>
  </si>
  <si>
    <r>
      <rPr>
        <sz val="10"/>
        <rFont val="宋体"/>
        <family val="3"/>
        <charset val="134"/>
      </rPr>
      <t>河南安抵</t>
    </r>
    <r>
      <rPr>
        <sz val="10"/>
        <rFont val="Times New Roman"/>
        <family val="1"/>
      </rPr>
      <t>11%</t>
    </r>
    <phoneticPr fontId="6" type="noConversion"/>
  </si>
  <si>
    <r>
      <rPr>
        <sz val="10"/>
        <rFont val="宋体"/>
        <family val="3"/>
        <charset val="134"/>
      </rPr>
      <t>基准日</t>
    </r>
    <phoneticPr fontId="6" type="noConversion"/>
  </si>
  <si>
    <t>设备编号</t>
    <phoneticPr fontId="6" type="noConversion"/>
  </si>
  <si>
    <t>设备名称</t>
    <phoneticPr fontId="6" type="noConversion"/>
  </si>
  <si>
    <t>规格型号</t>
    <phoneticPr fontId="6" type="noConversion"/>
  </si>
  <si>
    <t>使用单位</t>
    <phoneticPr fontId="6" type="noConversion"/>
  </si>
  <si>
    <t>生产厂家</t>
    <phoneticPr fontId="6" type="noConversion"/>
  </si>
  <si>
    <t>计量单位</t>
    <phoneticPr fontId="6" type="noConversion"/>
  </si>
  <si>
    <t>审计调整</t>
    <phoneticPr fontId="6" type="noConversion"/>
  </si>
  <si>
    <t>评估价值</t>
    <phoneticPr fontId="6" type="noConversion"/>
  </si>
  <si>
    <r>
      <rPr>
        <sz val="10"/>
        <rFont val="宋体"/>
        <family val="3"/>
        <charset val="134"/>
      </rPr>
      <t>增值率</t>
    </r>
    <r>
      <rPr>
        <sz val="10"/>
        <rFont val="Times New Roman"/>
        <family val="1"/>
      </rPr>
      <t>%</t>
    </r>
    <phoneticPr fontId="6" type="noConversion"/>
  </si>
  <si>
    <t>备注</t>
    <phoneticPr fontId="6" type="noConversion"/>
  </si>
  <si>
    <t>会计折旧年限</t>
    <phoneticPr fontId="6" type="noConversion"/>
  </si>
  <si>
    <t>原值</t>
    <phoneticPr fontId="6" type="noConversion"/>
  </si>
  <si>
    <t>净值</t>
    <phoneticPr fontId="6" type="noConversion"/>
  </si>
  <si>
    <t>其中跌价准备</t>
    <phoneticPr fontId="6" type="noConversion"/>
  </si>
  <si>
    <r>
      <rPr>
        <sz val="10"/>
        <rFont val="宋体"/>
        <family val="3"/>
        <charset val="134"/>
      </rPr>
      <t>成新率</t>
    </r>
    <r>
      <rPr>
        <sz val="10"/>
        <rFont val="Times New Roman"/>
        <family val="1"/>
      </rPr>
      <t>%</t>
    </r>
    <phoneticPr fontId="6" type="noConversion"/>
  </si>
  <si>
    <r>
      <rPr>
        <sz val="10"/>
        <rFont val="宋体"/>
        <family val="3"/>
        <charset val="134"/>
      </rPr>
      <t>可抵扣</t>
    </r>
    <phoneticPr fontId="6" type="noConversion"/>
  </si>
  <si>
    <r>
      <t>12</t>
    </r>
    <r>
      <rPr>
        <sz val="10"/>
        <rFont val="宋体"/>
        <family val="3"/>
        <charset val="134"/>
      </rPr>
      <t>格味料车</t>
    </r>
  </si>
  <si>
    <r>
      <rPr>
        <sz val="10"/>
        <rFont val="宋体"/>
        <family val="3"/>
        <charset val="134"/>
      </rPr>
      <t>交通、办公</t>
    </r>
    <phoneticPr fontId="6" type="noConversion"/>
  </si>
  <si>
    <r>
      <rPr>
        <sz val="10"/>
        <rFont val="宋体"/>
        <family val="3"/>
        <charset val="134"/>
      </rPr>
      <t>反渗透装置</t>
    </r>
    <phoneticPr fontId="6" type="noConversion"/>
  </si>
  <si>
    <r>
      <rPr>
        <sz val="10"/>
        <rFont val="宋体"/>
        <family val="3"/>
        <charset val="134"/>
      </rPr>
      <t>生产系统</t>
    </r>
  </si>
  <si>
    <r>
      <rPr>
        <sz val="10"/>
        <rFont val="宋体"/>
        <family val="3"/>
        <charset val="134"/>
      </rPr>
      <t>台</t>
    </r>
    <phoneticPr fontId="6" type="noConversion"/>
  </si>
  <si>
    <r>
      <rPr>
        <sz val="10"/>
        <rFont val="宋体"/>
        <family val="3"/>
        <charset val="134"/>
      </rPr>
      <t>变频柜</t>
    </r>
    <phoneticPr fontId="6" type="noConversion"/>
  </si>
  <si>
    <t>TD2100 30KW</t>
    <phoneticPr fontId="6" type="noConversion"/>
  </si>
  <si>
    <r>
      <rPr>
        <sz val="10"/>
        <rFont val="宋体"/>
        <family val="3"/>
        <charset val="134"/>
      </rPr>
      <t>钠离子交换水处理设备</t>
    </r>
    <phoneticPr fontId="6" type="noConversion"/>
  </si>
  <si>
    <r>
      <t>5</t>
    </r>
    <r>
      <rPr>
        <sz val="10"/>
        <rFont val="宋体"/>
        <family val="3"/>
        <charset val="134"/>
      </rPr>
      <t>格保温餐车</t>
    </r>
  </si>
  <si>
    <r>
      <t>5</t>
    </r>
    <r>
      <rPr>
        <sz val="10"/>
        <rFont val="宋体"/>
        <family val="3"/>
        <charset val="134"/>
      </rPr>
      <t>格自助餐盘</t>
    </r>
  </si>
  <si>
    <r>
      <rPr>
        <sz val="10"/>
        <rFont val="宋体"/>
        <family val="3"/>
        <charset val="134"/>
      </rPr>
      <t>办公、软件</t>
    </r>
    <phoneticPr fontId="6" type="noConversion"/>
  </si>
  <si>
    <t>EPSON</t>
    <phoneticPr fontId="6" type="noConversion"/>
  </si>
  <si>
    <r>
      <t>CIP</t>
    </r>
    <r>
      <rPr>
        <sz val="10"/>
        <rFont val="宋体"/>
        <family val="3"/>
        <charset val="134"/>
      </rPr>
      <t>碱罐</t>
    </r>
  </si>
  <si>
    <r>
      <t>CIP</t>
    </r>
    <r>
      <rPr>
        <sz val="10"/>
        <rFont val="宋体"/>
        <family val="3"/>
        <charset val="134"/>
      </rPr>
      <t>清洗罐</t>
    </r>
  </si>
  <si>
    <r>
      <t>CO2</t>
    </r>
    <r>
      <rPr>
        <sz val="10"/>
        <rFont val="宋体"/>
        <family val="3"/>
        <charset val="134"/>
      </rPr>
      <t>冷凝器</t>
    </r>
  </si>
  <si>
    <r>
      <t>CO2</t>
    </r>
    <r>
      <rPr>
        <sz val="10"/>
        <rFont val="宋体"/>
        <family val="3"/>
        <charset val="134"/>
      </rPr>
      <t>汽化器</t>
    </r>
  </si>
  <si>
    <r>
      <t>COD</t>
    </r>
    <r>
      <rPr>
        <sz val="10"/>
        <rFont val="宋体"/>
        <family val="3"/>
        <charset val="134"/>
      </rPr>
      <t>自动监控仪</t>
    </r>
  </si>
  <si>
    <r>
      <t>PET</t>
    </r>
    <r>
      <rPr>
        <sz val="10"/>
        <rFont val="宋体"/>
        <family val="3"/>
        <charset val="134"/>
      </rPr>
      <t>纯水泵</t>
    </r>
  </si>
  <si>
    <r>
      <t>PET</t>
    </r>
    <r>
      <rPr>
        <sz val="10"/>
        <rFont val="宋体"/>
        <family val="3"/>
        <charset val="134"/>
      </rPr>
      <t>立式灭菌泵</t>
    </r>
  </si>
  <si>
    <r>
      <t>PH</t>
    </r>
    <r>
      <rPr>
        <sz val="10"/>
        <rFont val="宋体"/>
        <family val="3"/>
        <charset val="134"/>
      </rPr>
      <t>测量循环泵</t>
    </r>
  </si>
  <si>
    <r>
      <t>PH</t>
    </r>
    <r>
      <rPr>
        <sz val="10"/>
        <rFont val="宋体"/>
        <family val="3"/>
        <charset val="134"/>
      </rPr>
      <t>计</t>
    </r>
  </si>
  <si>
    <r>
      <t>U8</t>
    </r>
    <r>
      <rPr>
        <sz val="10"/>
        <rFont val="宋体"/>
        <family val="3"/>
        <charset val="134"/>
      </rPr>
      <t>软件</t>
    </r>
  </si>
  <si>
    <r>
      <t>UASB</t>
    </r>
    <r>
      <rPr>
        <sz val="10"/>
        <rFont val="宋体"/>
        <family val="3"/>
        <charset val="134"/>
      </rPr>
      <t>设备</t>
    </r>
  </si>
  <si>
    <r>
      <t>UPS</t>
    </r>
    <r>
      <rPr>
        <sz val="10"/>
        <rFont val="宋体"/>
        <family val="3"/>
        <charset val="134"/>
      </rPr>
      <t>电源</t>
    </r>
  </si>
  <si>
    <t>VPN-H1100-HB</t>
    <phoneticPr fontId="6" type="noConversion"/>
  </si>
  <si>
    <r>
      <rPr>
        <sz val="10"/>
        <rFont val="宋体"/>
        <family val="3"/>
        <charset val="134"/>
      </rPr>
      <t>深信服</t>
    </r>
  </si>
  <si>
    <r>
      <rPr>
        <sz val="10"/>
        <rFont val="宋体"/>
        <family val="3"/>
        <charset val="134"/>
      </rPr>
      <t>国产</t>
    </r>
  </si>
  <si>
    <r>
      <rPr>
        <sz val="10"/>
        <rFont val="宋体"/>
        <family val="3"/>
        <charset val="134"/>
      </rPr>
      <t>矮汤灶</t>
    </r>
  </si>
  <si>
    <r>
      <rPr>
        <sz val="10"/>
        <rFont val="宋体"/>
        <family val="3"/>
        <charset val="134"/>
      </rPr>
      <t>交通、办公</t>
    </r>
    <phoneticPr fontId="6" type="noConversion"/>
  </si>
  <si>
    <r>
      <rPr>
        <sz val="10"/>
        <rFont val="宋体"/>
        <family val="3"/>
        <charset val="134"/>
      </rPr>
      <t>板框式硅藻土过滤机</t>
    </r>
  </si>
  <si>
    <r>
      <rPr>
        <sz val="10"/>
        <rFont val="宋体"/>
        <family val="3"/>
        <charset val="134"/>
      </rPr>
      <t>板式换热器</t>
    </r>
  </si>
  <si>
    <r>
      <rPr>
        <sz val="10"/>
        <rFont val="宋体"/>
        <family val="3"/>
        <charset val="134"/>
      </rPr>
      <t>板式速冷机</t>
    </r>
  </si>
  <si>
    <r>
      <rPr>
        <sz val="10"/>
        <rFont val="宋体"/>
        <family val="3"/>
        <charset val="134"/>
      </rPr>
      <t>办公桌椅</t>
    </r>
  </si>
  <si>
    <r>
      <rPr>
        <sz val="10"/>
        <rFont val="宋体"/>
        <family val="3"/>
        <charset val="134"/>
      </rPr>
      <t>包一纯水泵</t>
    </r>
  </si>
  <si>
    <r>
      <rPr>
        <sz val="10"/>
        <rFont val="宋体"/>
        <family val="3"/>
        <charset val="134"/>
      </rPr>
      <t>包装工艺管道</t>
    </r>
  </si>
  <si>
    <r>
      <rPr>
        <sz val="10"/>
        <rFont val="宋体"/>
        <family val="3"/>
        <charset val="134"/>
      </rPr>
      <t>包装输酒泵</t>
    </r>
  </si>
  <si>
    <r>
      <rPr>
        <sz val="10"/>
        <rFont val="宋体"/>
        <family val="3"/>
        <charset val="134"/>
      </rPr>
      <t>薄板酸碱循环泵</t>
    </r>
  </si>
  <si>
    <r>
      <rPr>
        <sz val="10"/>
        <rFont val="宋体"/>
        <family val="3"/>
        <charset val="134"/>
      </rPr>
      <t>台</t>
    </r>
    <phoneticPr fontId="6" type="noConversion"/>
  </si>
  <si>
    <r>
      <rPr>
        <sz val="10"/>
        <rFont val="宋体"/>
        <family val="3"/>
        <charset val="134"/>
      </rPr>
      <t>变压器</t>
    </r>
    <phoneticPr fontId="6" type="noConversion"/>
  </si>
  <si>
    <r>
      <rPr>
        <sz val="10"/>
        <rFont val="宋体"/>
        <family val="3"/>
        <charset val="134"/>
      </rPr>
      <t>冰水泵</t>
    </r>
  </si>
  <si>
    <r>
      <rPr>
        <sz val="10"/>
        <rFont val="宋体"/>
        <family val="3"/>
        <charset val="134"/>
      </rPr>
      <t>冰水泵（制麦）</t>
    </r>
  </si>
  <si>
    <r>
      <rPr>
        <sz val="10"/>
        <rFont val="宋体"/>
        <family val="3"/>
        <charset val="134"/>
      </rPr>
      <t>冰水泵变频柜</t>
    </r>
    <r>
      <rPr>
        <sz val="10"/>
        <rFont val="Times New Roman"/>
        <family val="1"/>
      </rPr>
      <t>(</t>
    </r>
    <r>
      <rPr>
        <sz val="10"/>
        <rFont val="宋体"/>
        <family val="3"/>
        <charset val="134"/>
      </rPr>
      <t>制麦</t>
    </r>
    <r>
      <rPr>
        <sz val="10"/>
        <rFont val="Times New Roman"/>
        <family val="1"/>
      </rPr>
      <t>)</t>
    </r>
  </si>
  <si>
    <r>
      <rPr>
        <sz val="10"/>
        <rFont val="宋体"/>
        <family val="3"/>
        <charset val="134"/>
      </rPr>
      <t>冰水罐</t>
    </r>
  </si>
  <si>
    <r>
      <rPr>
        <sz val="10"/>
        <rFont val="宋体"/>
        <family val="3"/>
        <charset val="134"/>
      </rPr>
      <t>冰水循环泵</t>
    </r>
  </si>
  <si>
    <r>
      <rPr>
        <sz val="10"/>
        <rFont val="宋体"/>
        <family val="3"/>
        <charset val="134"/>
      </rPr>
      <t>冰箱</t>
    </r>
  </si>
  <si>
    <r>
      <rPr>
        <sz val="10"/>
        <rFont val="宋体"/>
        <family val="3"/>
        <charset val="134"/>
      </rPr>
      <t>幷醪泵</t>
    </r>
  </si>
  <si>
    <r>
      <rPr>
        <sz val="10"/>
        <rFont val="宋体"/>
        <family val="3"/>
        <charset val="134"/>
      </rPr>
      <t>山特</t>
    </r>
    <phoneticPr fontId="6" type="noConversion"/>
  </si>
  <si>
    <r>
      <rPr>
        <sz val="10"/>
        <rFont val="宋体"/>
        <family val="3"/>
        <charset val="134"/>
      </rPr>
      <t>不锈钢</t>
    </r>
    <r>
      <rPr>
        <sz val="10"/>
        <rFont val="Times New Roman"/>
        <family val="1"/>
      </rPr>
      <t>CIP</t>
    </r>
    <r>
      <rPr>
        <sz val="10"/>
        <rFont val="宋体"/>
        <family val="3"/>
        <charset val="134"/>
      </rPr>
      <t>消毒罐</t>
    </r>
  </si>
  <si>
    <r>
      <rPr>
        <sz val="10"/>
        <rFont val="宋体"/>
        <family val="3"/>
        <charset val="134"/>
      </rPr>
      <t>不锈钢冰水罐</t>
    </r>
  </si>
  <si>
    <r>
      <rPr>
        <sz val="10"/>
        <rFont val="宋体"/>
        <family val="3"/>
        <charset val="134"/>
      </rPr>
      <t>不锈钢纯净水罐</t>
    </r>
  </si>
  <si>
    <r>
      <rPr>
        <sz val="10"/>
        <rFont val="宋体"/>
        <family val="3"/>
        <charset val="134"/>
      </rPr>
      <t>不锈钢螺旋出糟机</t>
    </r>
  </si>
  <si>
    <r>
      <rPr>
        <sz val="10"/>
        <rFont val="宋体"/>
        <family val="3"/>
        <charset val="134"/>
      </rPr>
      <t>不锈钢面靠背快餐桌</t>
    </r>
  </si>
  <si>
    <r>
      <rPr>
        <sz val="10"/>
        <rFont val="宋体"/>
        <family val="3"/>
        <charset val="134"/>
      </rPr>
      <t>不锈钢生啤罐</t>
    </r>
  </si>
  <si>
    <r>
      <rPr>
        <sz val="10"/>
        <rFont val="宋体"/>
        <family val="3"/>
        <charset val="134"/>
      </rPr>
      <t>不锈钢托盘</t>
    </r>
  </si>
  <si>
    <r>
      <rPr>
        <sz val="10"/>
        <rFont val="宋体"/>
        <family val="3"/>
        <charset val="134"/>
      </rPr>
      <t>财税</t>
    </r>
    <r>
      <rPr>
        <sz val="10"/>
        <rFont val="Times New Roman"/>
        <family val="1"/>
      </rPr>
      <t>200</t>
    </r>
    <phoneticPr fontId="6" type="noConversion"/>
  </si>
  <si>
    <r>
      <rPr>
        <sz val="10"/>
        <rFont val="宋体"/>
        <family val="3"/>
        <charset val="134"/>
      </rPr>
      <t>办公、软件</t>
    </r>
    <phoneticPr fontId="6" type="noConversion"/>
  </si>
  <si>
    <r>
      <rPr>
        <sz val="10"/>
        <rFont val="宋体"/>
        <family val="3"/>
        <charset val="134"/>
      </rPr>
      <t>方正</t>
    </r>
  </si>
  <si>
    <r>
      <rPr>
        <sz val="10"/>
        <rFont val="宋体"/>
        <family val="3"/>
        <charset val="134"/>
      </rPr>
      <t>残羹台</t>
    </r>
  </si>
  <si>
    <r>
      <rPr>
        <sz val="10"/>
        <rFont val="宋体"/>
        <family val="3"/>
        <charset val="134"/>
      </rPr>
      <t>合力</t>
    </r>
  </si>
  <si>
    <r>
      <rPr>
        <sz val="10"/>
        <rFont val="宋体"/>
        <family val="3"/>
        <charset val="134"/>
      </rPr>
      <t>铲车</t>
    </r>
  </si>
  <si>
    <r>
      <rPr>
        <sz val="10"/>
        <rFont val="宋体"/>
        <family val="3"/>
        <charset val="134"/>
      </rPr>
      <t>超净工作台</t>
    </r>
  </si>
  <si>
    <r>
      <rPr>
        <sz val="10"/>
        <rFont val="宋体"/>
        <family val="3"/>
        <charset val="134"/>
      </rPr>
      <t>抽氟机</t>
    </r>
  </si>
  <si>
    <r>
      <rPr>
        <sz val="10"/>
        <rFont val="宋体"/>
        <family val="3"/>
        <charset val="134"/>
      </rPr>
      <t>抽气风柜</t>
    </r>
  </si>
  <si>
    <r>
      <rPr>
        <sz val="10"/>
        <rFont val="宋体"/>
        <family val="3"/>
        <charset val="134"/>
      </rPr>
      <t>垂直轴偏差检测仪</t>
    </r>
  </si>
  <si>
    <r>
      <rPr>
        <sz val="10"/>
        <rFont val="宋体"/>
        <family val="3"/>
        <charset val="134"/>
      </rPr>
      <t>打印机</t>
    </r>
  </si>
  <si>
    <r>
      <rPr>
        <sz val="10"/>
        <rFont val="宋体"/>
        <family val="3"/>
        <charset val="134"/>
      </rPr>
      <t>办公、软件</t>
    </r>
    <phoneticPr fontId="6" type="noConversion"/>
  </si>
  <si>
    <t>EPSON</t>
    <phoneticPr fontId="6" type="noConversion"/>
  </si>
  <si>
    <r>
      <rPr>
        <sz val="10"/>
        <rFont val="宋体"/>
        <family val="3"/>
        <charset val="134"/>
      </rPr>
      <t>大米料仓</t>
    </r>
  </si>
  <si>
    <r>
      <rPr>
        <sz val="10"/>
        <rFont val="宋体"/>
        <family val="3"/>
        <charset val="134"/>
      </rPr>
      <t>大米去石机</t>
    </r>
  </si>
  <si>
    <r>
      <rPr>
        <sz val="10"/>
        <rFont val="宋体"/>
        <family val="3"/>
        <charset val="134"/>
      </rPr>
      <t>大米湿式粉碎机</t>
    </r>
  </si>
  <si>
    <r>
      <rPr>
        <sz val="10"/>
        <rFont val="宋体"/>
        <family val="3"/>
        <charset val="134"/>
      </rPr>
      <t>单层会议桌</t>
    </r>
  </si>
  <si>
    <r>
      <rPr>
        <sz val="10"/>
        <rFont val="宋体"/>
        <family val="3"/>
        <charset val="134"/>
      </rPr>
      <t>交通、办公</t>
    </r>
    <phoneticPr fontId="6" type="noConversion"/>
  </si>
  <si>
    <r>
      <rPr>
        <sz val="10"/>
        <rFont val="宋体"/>
        <family val="3"/>
        <charset val="134"/>
      </rPr>
      <t>单头大锅灶</t>
    </r>
  </si>
  <si>
    <r>
      <rPr>
        <sz val="10"/>
        <rFont val="宋体"/>
        <family val="3"/>
        <charset val="134"/>
      </rPr>
      <t>单眼水池</t>
    </r>
  </si>
  <si>
    <r>
      <rPr>
        <sz val="10"/>
        <rFont val="宋体"/>
        <family val="3"/>
        <charset val="134"/>
      </rPr>
      <t>档案柜</t>
    </r>
  </si>
  <si>
    <r>
      <rPr>
        <sz val="10"/>
        <rFont val="宋体"/>
        <family val="3"/>
        <charset val="134"/>
      </rPr>
      <t>低速离心机</t>
    </r>
  </si>
  <si>
    <r>
      <rPr>
        <sz val="10"/>
        <rFont val="宋体"/>
        <family val="3"/>
        <charset val="134"/>
      </rPr>
      <t>低压出线柜</t>
    </r>
  </si>
  <si>
    <r>
      <rPr>
        <sz val="10"/>
        <rFont val="宋体"/>
        <family val="3"/>
        <charset val="134"/>
      </rPr>
      <t>低压电容柜</t>
    </r>
  </si>
  <si>
    <r>
      <rPr>
        <sz val="10"/>
        <rFont val="宋体"/>
        <family val="3"/>
        <charset val="134"/>
      </rPr>
      <t>低压配电柜</t>
    </r>
    <phoneticPr fontId="6" type="noConversion"/>
  </si>
  <si>
    <r>
      <rPr>
        <sz val="10"/>
        <rFont val="宋体"/>
        <family val="3"/>
        <charset val="134"/>
      </rPr>
      <t>低压配电柜</t>
    </r>
  </si>
  <si>
    <r>
      <rPr>
        <sz val="10"/>
        <rFont val="宋体"/>
        <family val="3"/>
        <charset val="134"/>
      </rPr>
      <t>低压主进柜</t>
    </r>
  </si>
  <si>
    <r>
      <rPr>
        <sz val="10"/>
        <rFont val="宋体"/>
        <family val="3"/>
        <charset val="134"/>
      </rPr>
      <t>地埋电缆</t>
    </r>
  </si>
  <si>
    <r>
      <rPr>
        <sz val="10"/>
        <rFont val="宋体"/>
        <family val="3"/>
        <charset val="134"/>
      </rPr>
      <t>电动门</t>
    </r>
  </si>
  <si>
    <r>
      <rPr>
        <sz val="10"/>
        <rFont val="宋体"/>
        <family val="3"/>
        <charset val="134"/>
      </rPr>
      <t>交通、办公</t>
    </r>
    <phoneticPr fontId="6" type="noConversion"/>
  </si>
  <si>
    <r>
      <rPr>
        <sz val="10"/>
        <rFont val="宋体"/>
        <family val="3"/>
        <charset val="134"/>
      </rPr>
      <t>电动三轮车</t>
    </r>
  </si>
  <si>
    <r>
      <rPr>
        <sz val="10"/>
        <rFont val="宋体"/>
        <family val="3"/>
        <charset val="134"/>
      </rPr>
      <t>电焊机</t>
    </r>
  </si>
  <si>
    <r>
      <rPr>
        <sz val="10"/>
        <rFont val="宋体"/>
        <family val="3"/>
        <charset val="134"/>
      </rPr>
      <t>电脑</t>
    </r>
    <phoneticPr fontId="6" type="noConversion"/>
  </si>
  <si>
    <r>
      <rPr>
        <sz val="10"/>
        <rFont val="宋体"/>
        <family val="3"/>
        <charset val="134"/>
      </rPr>
      <t>联想</t>
    </r>
    <phoneticPr fontId="6" type="noConversion"/>
  </si>
  <si>
    <r>
      <rPr>
        <sz val="10"/>
        <rFont val="宋体"/>
        <family val="3"/>
        <charset val="134"/>
      </rPr>
      <t>电脑</t>
    </r>
  </si>
  <si>
    <r>
      <rPr>
        <sz val="10"/>
        <rFont val="宋体"/>
        <family val="3"/>
        <charset val="134"/>
      </rPr>
      <t>电脑测控耐破仪</t>
    </r>
  </si>
  <si>
    <r>
      <rPr>
        <sz val="10"/>
        <rFont val="宋体"/>
        <family val="3"/>
        <charset val="134"/>
      </rPr>
      <t>电气、仪表控制柜</t>
    </r>
  </si>
  <si>
    <r>
      <rPr>
        <sz val="10"/>
        <rFont val="宋体"/>
        <family val="3"/>
        <charset val="134"/>
      </rPr>
      <t>电子式压缩强度测定仪</t>
    </r>
  </si>
  <si>
    <r>
      <rPr>
        <sz val="10"/>
        <rFont val="宋体"/>
        <family val="3"/>
        <charset val="134"/>
      </rPr>
      <t>电子天平</t>
    </r>
  </si>
  <si>
    <r>
      <rPr>
        <sz val="10"/>
        <rFont val="宋体"/>
        <family val="3"/>
        <charset val="134"/>
      </rPr>
      <t>电子显微镜</t>
    </r>
  </si>
  <si>
    <r>
      <rPr>
        <sz val="10"/>
        <rFont val="宋体"/>
        <family val="3"/>
        <charset val="134"/>
      </rPr>
      <t>淀粉螺旋输送机</t>
    </r>
  </si>
  <si>
    <r>
      <rPr>
        <sz val="10"/>
        <rFont val="宋体"/>
        <family val="3"/>
        <charset val="134"/>
      </rPr>
      <t>吊柜</t>
    </r>
  </si>
  <si>
    <r>
      <rPr>
        <sz val="10"/>
        <rFont val="宋体"/>
        <family val="3"/>
        <charset val="134"/>
      </rPr>
      <t>斗式提升机</t>
    </r>
  </si>
  <si>
    <r>
      <rPr>
        <sz val="10"/>
        <rFont val="宋体"/>
        <family val="3"/>
        <charset val="134"/>
      </rPr>
      <t>二沉池刮泥机</t>
    </r>
  </si>
  <si>
    <r>
      <rPr>
        <sz val="10"/>
        <rFont val="宋体"/>
        <family val="3"/>
        <charset val="134"/>
      </rPr>
      <t>二沉池污泥回流泵</t>
    </r>
  </si>
  <si>
    <r>
      <rPr>
        <sz val="10"/>
        <rFont val="宋体"/>
        <family val="3"/>
        <charset val="134"/>
      </rPr>
      <t>二氧化碳液体储槽</t>
    </r>
  </si>
  <si>
    <r>
      <rPr>
        <sz val="10"/>
        <rFont val="宋体"/>
        <family val="3"/>
        <charset val="134"/>
      </rPr>
      <t>发酵工艺管道</t>
    </r>
  </si>
  <si>
    <r>
      <rPr>
        <sz val="10"/>
        <rFont val="宋体"/>
        <family val="3"/>
        <charset val="134"/>
      </rPr>
      <t>发酵罐</t>
    </r>
  </si>
  <si>
    <r>
      <rPr>
        <sz val="10"/>
        <rFont val="宋体"/>
        <family val="3"/>
        <charset val="134"/>
      </rPr>
      <t>发酵硬管</t>
    </r>
    <r>
      <rPr>
        <sz val="10"/>
        <rFont val="Times New Roman"/>
        <family val="1"/>
      </rPr>
      <t>CIP</t>
    </r>
    <r>
      <rPr>
        <sz val="10"/>
        <rFont val="宋体"/>
        <family val="3"/>
        <charset val="134"/>
      </rPr>
      <t>回泵</t>
    </r>
  </si>
  <si>
    <r>
      <rPr>
        <sz val="10"/>
        <rFont val="宋体"/>
        <family val="3"/>
        <charset val="134"/>
      </rPr>
      <t>发酵蒸汽流量计</t>
    </r>
  </si>
  <si>
    <r>
      <rPr>
        <sz val="10"/>
        <rFont val="宋体"/>
        <family val="3"/>
        <charset val="134"/>
      </rPr>
      <t>反渗透水处理设备</t>
    </r>
  </si>
  <si>
    <r>
      <rPr>
        <sz val="10"/>
        <rFont val="宋体"/>
        <family val="3"/>
        <charset val="134"/>
      </rPr>
      <t>防锈乳化油</t>
    </r>
  </si>
  <si>
    <r>
      <rPr>
        <sz val="10"/>
        <rFont val="宋体"/>
        <family val="3"/>
        <charset val="134"/>
      </rPr>
      <t>分气缸</t>
    </r>
  </si>
  <si>
    <r>
      <rPr>
        <sz val="10"/>
        <rFont val="宋体"/>
        <family val="3"/>
        <charset val="134"/>
      </rPr>
      <t>分析天平</t>
    </r>
  </si>
  <si>
    <r>
      <rPr>
        <sz val="10"/>
        <rFont val="宋体"/>
        <family val="3"/>
        <charset val="134"/>
      </rPr>
      <t>粉碎冷水泵</t>
    </r>
  </si>
  <si>
    <r>
      <rPr>
        <sz val="10"/>
        <rFont val="宋体"/>
        <family val="3"/>
        <charset val="134"/>
      </rPr>
      <t>粉碎热水泵</t>
    </r>
  </si>
  <si>
    <r>
      <rPr>
        <sz val="10"/>
        <rFont val="宋体"/>
        <family val="3"/>
        <charset val="134"/>
      </rPr>
      <t>风机</t>
    </r>
  </si>
  <si>
    <r>
      <rPr>
        <sz val="10"/>
        <rFont val="宋体"/>
        <family val="3"/>
        <charset val="134"/>
      </rPr>
      <t>封盖密封性检测仪</t>
    </r>
  </si>
  <si>
    <r>
      <rPr>
        <sz val="10"/>
        <rFont val="宋体"/>
        <family val="3"/>
        <charset val="134"/>
      </rPr>
      <t>钢丝刷长</t>
    </r>
  </si>
  <si>
    <r>
      <rPr>
        <sz val="10"/>
        <rFont val="宋体"/>
        <family val="3"/>
        <charset val="134"/>
      </rPr>
      <t>高浓稀释配比机</t>
    </r>
  </si>
  <si>
    <r>
      <rPr>
        <sz val="10"/>
        <rFont val="宋体"/>
        <family val="3"/>
        <charset val="134"/>
      </rPr>
      <t>高温双门消毒柜</t>
    </r>
  </si>
  <si>
    <r>
      <rPr>
        <sz val="10"/>
        <rFont val="宋体"/>
        <family val="3"/>
        <charset val="134"/>
      </rPr>
      <t>高压开关柜</t>
    </r>
  </si>
  <si>
    <r>
      <rPr>
        <sz val="10"/>
        <rFont val="宋体"/>
        <family val="3"/>
        <charset val="134"/>
      </rPr>
      <t>高压清洗机</t>
    </r>
  </si>
  <si>
    <r>
      <rPr>
        <sz val="10"/>
        <rFont val="宋体"/>
        <family val="3"/>
        <charset val="134"/>
      </rPr>
      <t>高压蒸汽灭菌锅</t>
    </r>
  </si>
  <si>
    <r>
      <rPr>
        <sz val="10"/>
        <rFont val="宋体"/>
        <family val="3"/>
        <charset val="134"/>
      </rPr>
      <t>隔断式办公桌（含转椅）</t>
    </r>
  </si>
  <si>
    <r>
      <rPr>
        <sz val="10"/>
        <rFont val="宋体"/>
        <family val="3"/>
        <charset val="134"/>
      </rPr>
      <t>给水泵</t>
    </r>
  </si>
  <si>
    <r>
      <rPr>
        <sz val="10"/>
        <rFont val="宋体"/>
        <family val="3"/>
        <charset val="134"/>
      </rPr>
      <t>鼓风机</t>
    </r>
  </si>
  <si>
    <r>
      <rPr>
        <sz val="10"/>
        <rFont val="宋体"/>
        <family val="3"/>
        <charset val="134"/>
      </rPr>
      <t>管道过滤器</t>
    </r>
  </si>
  <si>
    <r>
      <rPr>
        <sz val="10"/>
        <rFont val="宋体"/>
        <family val="3"/>
        <charset val="134"/>
      </rPr>
      <t>管道流量计</t>
    </r>
  </si>
  <si>
    <r>
      <rPr>
        <sz val="10"/>
        <rFont val="宋体"/>
        <family val="3"/>
        <charset val="134"/>
      </rPr>
      <t>灌装机配电柜</t>
    </r>
  </si>
  <si>
    <r>
      <rPr>
        <sz val="10"/>
        <rFont val="宋体"/>
        <family val="3"/>
        <charset val="134"/>
      </rPr>
      <t>光波炉</t>
    </r>
  </si>
  <si>
    <r>
      <rPr>
        <sz val="10"/>
        <rFont val="宋体"/>
        <family val="3"/>
        <charset val="134"/>
      </rPr>
      <t>交通、办公</t>
    </r>
    <phoneticPr fontId="6" type="noConversion"/>
  </si>
  <si>
    <r>
      <rPr>
        <sz val="10"/>
        <rFont val="宋体"/>
        <family val="3"/>
        <charset val="134"/>
      </rPr>
      <t>光纤</t>
    </r>
  </si>
  <si>
    <r>
      <rPr>
        <sz val="10"/>
        <rFont val="宋体"/>
        <family val="3"/>
        <charset val="134"/>
      </rPr>
      <t>锅炉除渣机</t>
    </r>
  </si>
  <si>
    <r>
      <rPr>
        <sz val="10"/>
        <rFont val="宋体"/>
        <family val="3"/>
        <charset val="134"/>
      </rPr>
      <t>锅炉烟囱</t>
    </r>
  </si>
  <si>
    <r>
      <rPr>
        <sz val="10"/>
        <rFont val="宋体"/>
        <family val="3"/>
        <charset val="134"/>
      </rPr>
      <t>锅炉引风机</t>
    </r>
  </si>
  <si>
    <r>
      <rPr>
        <sz val="10"/>
        <rFont val="宋体"/>
        <family val="3"/>
        <charset val="134"/>
      </rPr>
      <t>过滤槽</t>
    </r>
  </si>
  <si>
    <r>
      <rPr>
        <sz val="10"/>
        <rFont val="宋体"/>
        <family val="3"/>
        <charset val="134"/>
      </rPr>
      <t>过滤器进水泵</t>
    </r>
  </si>
  <si>
    <r>
      <rPr>
        <sz val="10"/>
        <rFont val="宋体"/>
        <family val="3"/>
        <charset val="134"/>
      </rPr>
      <t>和面机</t>
    </r>
  </si>
  <si>
    <r>
      <rPr>
        <sz val="10"/>
        <rFont val="宋体"/>
        <family val="3"/>
        <charset val="134"/>
      </rPr>
      <t>恒温干燥箱</t>
    </r>
  </si>
  <si>
    <r>
      <rPr>
        <sz val="10"/>
        <rFont val="宋体"/>
        <family val="3"/>
        <charset val="134"/>
      </rPr>
      <t>烘箱</t>
    </r>
  </si>
  <si>
    <r>
      <rPr>
        <sz val="10"/>
        <rFont val="宋体"/>
        <family val="3"/>
        <charset val="134"/>
      </rPr>
      <t>糊化锅</t>
    </r>
  </si>
  <si>
    <r>
      <rPr>
        <sz val="10"/>
        <rFont val="宋体"/>
        <family val="3"/>
        <charset val="134"/>
      </rPr>
      <t>回流水泵</t>
    </r>
  </si>
  <si>
    <r>
      <rPr>
        <sz val="10"/>
        <rFont val="宋体"/>
        <family val="3"/>
        <charset val="134"/>
      </rPr>
      <t>回流水槽</t>
    </r>
  </si>
  <si>
    <r>
      <rPr>
        <sz val="10"/>
        <rFont val="宋体"/>
        <family val="3"/>
        <charset val="134"/>
      </rPr>
      <t>活性炭吸附塔</t>
    </r>
  </si>
  <si>
    <r>
      <rPr>
        <sz val="10"/>
        <rFont val="宋体"/>
        <family val="3"/>
        <charset val="134"/>
      </rPr>
      <t>机械格栅</t>
    </r>
  </si>
  <si>
    <r>
      <rPr>
        <sz val="10"/>
        <rFont val="宋体"/>
        <family val="3"/>
        <charset val="134"/>
      </rPr>
      <t>激光喷码机</t>
    </r>
  </si>
  <si>
    <r>
      <rPr>
        <sz val="10"/>
        <rFont val="宋体"/>
        <family val="3"/>
        <charset val="134"/>
      </rPr>
      <t>集灰箱</t>
    </r>
  </si>
  <si>
    <r>
      <rPr>
        <sz val="10"/>
        <rFont val="宋体"/>
        <family val="3"/>
        <charset val="134"/>
      </rPr>
      <t>加药装置</t>
    </r>
  </si>
  <si>
    <r>
      <rPr>
        <sz val="10"/>
        <rFont val="宋体"/>
        <family val="3"/>
        <charset val="134"/>
      </rPr>
      <t>监控系统</t>
    </r>
  </si>
  <si>
    <r>
      <rPr>
        <sz val="10"/>
        <rFont val="宋体"/>
        <family val="3"/>
        <charset val="134"/>
      </rPr>
      <t>减压系统</t>
    </r>
  </si>
  <si>
    <r>
      <rPr>
        <sz val="10"/>
        <rFont val="宋体"/>
        <family val="3"/>
        <charset val="134"/>
      </rPr>
      <t>姜汁罐</t>
    </r>
  </si>
  <si>
    <r>
      <rPr>
        <sz val="10"/>
        <rFont val="宋体"/>
        <family val="3"/>
        <charset val="134"/>
      </rPr>
      <t>接触氧化池设备</t>
    </r>
  </si>
  <si>
    <r>
      <rPr>
        <sz val="10"/>
        <rFont val="宋体"/>
        <family val="3"/>
        <charset val="134"/>
      </rPr>
      <t>精滤机</t>
    </r>
  </si>
  <si>
    <r>
      <rPr>
        <sz val="10"/>
        <rFont val="宋体"/>
        <family val="3"/>
        <charset val="134"/>
      </rPr>
      <t>抗冲击测定仪</t>
    </r>
  </si>
  <si>
    <r>
      <rPr>
        <sz val="10"/>
        <rFont val="宋体"/>
        <family val="3"/>
        <charset val="134"/>
      </rPr>
      <t>空气呼吸器</t>
    </r>
    <r>
      <rPr>
        <sz val="10"/>
        <rFont val="Times New Roman"/>
        <family val="1"/>
      </rPr>
      <t>1</t>
    </r>
  </si>
  <si>
    <r>
      <rPr>
        <sz val="10"/>
        <rFont val="宋体"/>
        <family val="3"/>
        <charset val="134"/>
      </rPr>
      <t>空气呼吸器</t>
    </r>
    <r>
      <rPr>
        <sz val="10"/>
        <rFont val="Times New Roman"/>
        <family val="1"/>
      </rPr>
      <t>2</t>
    </r>
  </si>
  <si>
    <r>
      <rPr>
        <sz val="10"/>
        <rFont val="宋体"/>
        <family val="3"/>
        <charset val="134"/>
      </rPr>
      <t>空气冷冻式干燥机</t>
    </r>
  </si>
  <si>
    <r>
      <rPr>
        <sz val="10"/>
        <rFont val="宋体"/>
        <family val="3"/>
        <charset val="134"/>
      </rPr>
      <t>空气流量计</t>
    </r>
  </si>
  <si>
    <r>
      <rPr>
        <sz val="10"/>
        <rFont val="宋体"/>
        <family val="3"/>
        <charset val="134"/>
      </rPr>
      <t>空调</t>
    </r>
    <phoneticPr fontId="6" type="noConversion"/>
  </si>
  <si>
    <r>
      <rPr>
        <sz val="10"/>
        <rFont val="宋体"/>
        <family val="3"/>
        <charset val="134"/>
      </rPr>
      <t>交通、办公</t>
    </r>
    <phoneticPr fontId="6" type="noConversion"/>
  </si>
  <si>
    <r>
      <rPr>
        <sz val="10"/>
        <rFont val="宋体"/>
        <family val="3"/>
        <charset val="134"/>
      </rPr>
      <t>格力</t>
    </r>
  </si>
  <si>
    <r>
      <rPr>
        <sz val="10"/>
        <rFont val="宋体"/>
        <family val="3"/>
        <charset val="134"/>
      </rPr>
      <t>空调柜机</t>
    </r>
    <phoneticPr fontId="6" type="noConversion"/>
  </si>
  <si>
    <r>
      <rPr>
        <sz val="10"/>
        <rFont val="宋体"/>
        <family val="3"/>
        <charset val="134"/>
      </rPr>
      <t>控制柜</t>
    </r>
  </si>
  <si>
    <r>
      <rPr>
        <sz val="10"/>
        <rFont val="宋体"/>
        <family val="3"/>
        <charset val="134"/>
      </rPr>
      <t>控制系统</t>
    </r>
  </si>
  <si>
    <r>
      <rPr>
        <sz val="10"/>
        <rFont val="宋体"/>
        <family val="3"/>
        <charset val="134"/>
      </rPr>
      <t>冷麦汁</t>
    </r>
    <r>
      <rPr>
        <sz val="10"/>
        <rFont val="Times New Roman"/>
        <family val="1"/>
      </rPr>
      <t>CIP</t>
    </r>
    <r>
      <rPr>
        <sz val="10"/>
        <rFont val="宋体"/>
        <family val="3"/>
        <charset val="134"/>
      </rPr>
      <t>碱罐</t>
    </r>
  </si>
  <si>
    <r>
      <rPr>
        <sz val="10"/>
        <rFont val="宋体"/>
        <family val="3"/>
        <charset val="134"/>
      </rPr>
      <t>冷麦汁</t>
    </r>
    <r>
      <rPr>
        <sz val="10"/>
        <rFont val="Times New Roman"/>
        <family val="1"/>
      </rPr>
      <t>CIP</t>
    </r>
    <r>
      <rPr>
        <sz val="10"/>
        <rFont val="宋体"/>
        <family val="3"/>
        <charset val="134"/>
      </rPr>
      <t>酸罐</t>
    </r>
  </si>
  <si>
    <r>
      <rPr>
        <sz val="10"/>
        <rFont val="宋体"/>
        <family val="3"/>
        <charset val="134"/>
      </rPr>
      <t>冷麦汁电磁流量计</t>
    </r>
  </si>
  <si>
    <r>
      <rPr>
        <sz val="10"/>
        <rFont val="宋体"/>
        <family val="3"/>
        <charset val="134"/>
      </rPr>
      <t>冷媒泵</t>
    </r>
  </si>
  <si>
    <r>
      <rPr>
        <sz val="10"/>
        <rFont val="宋体"/>
        <family val="3"/>
        <charset val="134"/>
      </rPr>
      <t>冷媒罐</t>
    </r>
  </si>
  <si>
    <r>
      <rPr>
        <sz val="10"/>
        <rFont val="宋体"/>
        <family val="3"/>
        <charset val="134"/>
      </rPr>
      <t>冷媒内循环泵</t>
    </r>
  </si>
  <si>
    <r>
      <rPr>
        <sz val="10"/>
        <rFont val="宋体"/>
        <family val="3"/>
        <charset val="134"/>
      </rPr>
      <t>冷凝水回收</t>
    </r>
  </si>
  <si>
    <r>
      <rPr>
        <sz val="10"/>
        <rFont val="宋体"/>
        <family val="3"/>
        <charset val="134"/>
      </rPr>
      <t>冷却麦汁泵</t>
    </r>
  </si>
  <si>
    <r>
      <rPr>
        <sz val="10"/>
        <rFont val="宋体"/>
        <family val="3"/>
        <charset val="134"/>
      </rPr>
      <t>冷却水循环泵</t>
    </r>
  </si>
  <si>
    <r>
      <rPr>
        <sz val="10"/>
        <rFont val="宋体"/>
        <family val="3"/>
        <charset val="134"/>
      </rPr>
      <t>冷却塔</t>
    </r>
  </si>
  <si>
    <r>
      <rPr>
        <sz val="10"/>
        <rFont val="宋体"/>
        <family val="3"/>
        <charset val="134"/>
      </rPr>
      <t>冷却塔配电柜</t>
    </r>
  </si>
  <si>
    <r>
      <rPr>
        <sz val="10"/>
        <rFont val="宋体"/>
        <family val="3"/>
        <charset val="134"/>
      </rPr>
      <t>离心风机</t>
    </r>
  </si>
  <si>
    <r>
      <rPr>
        <sz val="10"/>
        <rFont val="宋体"/>
        <family val="3"/>
        <charset val="134"/>
      </rPr>
      <t>理瓶机</t>
    </r>
  </si>
  <si>
    <r>
      <rPr>
        <sz val="10"/>
        <rFont val="宋体"/>
        <family val="3"/>
        <charset val="134"/>
      </rPr>
      <t>联络柜</t>
    </r>
  </si>
  <si>
    <r>
      <rPr>
        <sz val="10"/>
        <rFont val="宋体"/>
        <family val="3"/>
        <charset val="134"/>
      </rPr>
      <t>流动清洗槽</t>
    </r>
  </si>
  <si>
    <r>
      <rPr>
        <sz val="10"/>
        <rFont val="宋体"/>
        <family val="3"/>
        <charset val="134"/>
      </rPr>
      <t>炉排减速机</t>
    </r>
  </si>
  <si>
    <r>
      <rPr>
        <sz val="10"/>
        <rFont val="宋体"/>
        <family val="3"/>
        <charset val="134"/>
      </rPr>
      <t>罗茨鼓风机</t>
    </r>
    <r>
      <rPr>
        <sz val="10"/>
        <rFont val="Times New Roman"/>
        <family val="1"/>
      </rPr>
      <t>1</t>
    </r>
  </si>
  <si>
    <r>
      <rPr>
        <sz val="10"/>
        <rFont val="宋体"/>
        <family val="3"/>
        <charset val="134"/>
      </rPr>
      <t>罗茨鼓风机</t>
    </r>
    <r>
      <rPr>
        <sz val="10"/>
        <rFont val="Times New Roman"/>
        <family val="1"/>
      </rPr>
      <t>2</t>
    </r>
  </si>
  <si>
    <r>
      <rPr>
        <sz val="10"/>
        <rFont val="宋体"/>
        <family val="3"/>
        <charset val="134"/>
      </rPr>
      <t>滤酒低压配电柜</t>
    </r>
  </si>
  <si>
    <r>
      <rPr>
        <sz val="10"/>
        <rFont val="宋体"/>
        <family val="3"/>
        <charset val="134"/>
      </rPr>
      <t>滤酒电磁流量计</t>
    </r>
  </si>
  <si>
    <r>
      <rPr>
        <sz val="10"/>
        <rFont val="宋体"/>
        <family val="3"/>
        <charset val="134"/>
      </rPr>
      <t>麻石除尘器</t>
    </r>
  </si>
  <si>
    <r>
      <rPr>
        <sz val="10"/>
        <rFont val="宋体"/>
        <family val="3"/>
        <charset val="134"/>
      </rPr>
      <t>马弗炉</t>
    </r>
  </si>
  <si>
    <r>
      <rPr>
        <sz val="10"/>
        <rFont val="宋体"/>
        <family val="3"/>
        <charset val="134"/>
      </rPr>
      <t>码垛机</t>
    </r>
  </si>
  <si>
    <r>
      <rPr>
        <sz val="10"/>
        <rFont val="宋体"/>
        <family val="3"/>
        <charset val="134"/>
      </rPr>
      <t>麦芽料仓</t>
    </r>
  </si>
  <si>
    <r>
      <rPr>
        <sz val="10"/>
        <rFont val="宋体"/>
        <family val="3"/>
        <charset val="134"/>
      </rPr>
      <t>台</t>
    </r>
    <phoneticPr fontId="6" type="noConversion"/>
  </si>
  <si>
    <r>
      <rPr>
        <sz val="10"/>
        <rFont val="宋体"/>
        <family val="3"/>
        <charset val="134"/>
      </rPr>
      <t>麦芽湿式粉碎机</t>
    </r>
  </si>
  <si>
    <r>
      <rPr>
        <sz val="10"/>
        <rFont val="宋体"/>
        <family val="3"/>
        <charset val="134"/>
      </rPr>
      <t>麦糟仓</t>
    </r>
  </si>
  <si>
    <r>
      <rPr>
        <sz val="10"/>
        <rFont val="宋体"/>
        <family val="3"/>
        <charset val="134"/>
      </rPr>
      <t>麦糟贮存罐</t>
    </r>
  </si>
  <si>
    <r>
      <rPr>
        <sz val="10"/>
        <rFont val="宋体"/>
        <family val="3"/>
        <charset val="134"/>
      </rPr>
      <t>麦汁过滤器</t>
    </r>
  </si>
  <si>
    <r>
      <rPr>
        <sz val="10"/>
        <rFont val="宋体"/>
        <family val="3"/>
        <charset val="134"/>
      </rPr>
      <t>麦汁回流泵</t>
    </r>
  </si>
  <si>
    <r>
      <rPr>
        <sz val="10"/>
        <rFont val="宋体"/>
        <family val="3"/>
        <charset val="134"/>
      </rPr>
      <t>麦汁冷却泵</t>
    </r>
  </si>
  <si>
    <r>
      <rPr>
        <sz val="10"/>
        <rFont val="宋体"/>
        <family val="3"/>
        <charset val="134"/>
      </rPr>
      <t>麦汁煮沸色度器</t>
    </r>
  </si>
  <si>
    <r>
      <rPr>
        <sz val="10"/>
        <rFont val="宋体"/>
        <family val="3"/>
        <charset val="134"/>
      </rPr>
      <t>脉冲除尘器</t>
    </r>
  </si>
  <si>
    <r>
      <rPr>
        <sz val="10"/>
        <rFont val="宋体"/>
        <family val="3"/>
        <charset val="134"/>
      </rPr>
      <t>棉纱普通</t>
    </r>
  </si>
  <si>
    <r>
      <rPr>
        <sz val="10"/>
        <rFont val="宋体"/>
        <family val="3"/>
        <charset val="134"/>
      </rPr>
      <t>面条机</t>
    </r>
  </si>
  <si>
    <r>
      <rPr>
        <sz val="10"/>
        <rFont val="宋体"/>
        <family val="3"/>
        <charset val="134"/>
      </rPr>
      <t>膜包机</t>
    </r>
  </si>
  <si>
    <r>
      <rPr>
        <sz val="10"/>
        <rFont val="宋体"/>
        <family val="3"/>
        <charset val="134"/>
      </rPr>
      <t>膜包机配电柜</t>
    </r>
  </si>
  <si>
    <r>
      <rPr>
        <sz val="10"/>
        <rFont val="宋体"/>
        <family val="3"/>
        <charset val="134"/>
      </rPr>
      <t>磨浆机</t>
    </r>
  </si>
  <si>
    <r>
      <rPr>
        <sz val="10"/>
        <rFont val="宋体"/>
        <family val="3"/>
        <charset val="134"/>
      </rPr>
      <t>酿造水调酸装置</t>
    </r>
  </si>
  <si>
    <r>
      <rPr>
        <sz val="10"/>
        <rFont val="宋体"/>
        <family val="3"/>
        <charset val="134"/>
      </rPr>
      <t>泡持性测定仪</t>
    </r>
  </si>
  <si>
    <r>
      <rPr>
        <sz val="10"/>
        <rFont val="宋体"/>
        <family val="3"/>
        <charset val="134"/>
      </rPr>
      <t>配电箱</t>
    </r>
    <r>
      <rPr>
        <sz val="10"/>
        <rFont val="Times New Roman"/>
        <family val="1"/>
      </rPr>
      <t>(</t>
    </r>
    <r>
      <rPr>
        <sz val="10"/>
        <rFont val="宋体"/>
        <family val="3"/>
        <charset val="134"/>
      </rPr>
      <t>冰水泵</t>
    </r>
    <r>
      <rPr>
        <sz val="10"/>
        <rFont val="Times New Roman"/>
        <family val="1"/>
      </rPr>
      <t>)</t>
    </r>
  </si>
  <si>
    <r>
      <rPr>
        <sz val="10"/>
        <rFont val="宋体"/>
        <family val="3"/>
        <charset val="134"/>
      </rPr>
      <t>配水泵</t>
    </r>
  </si>
  <si>
    <r>
      <rPr>
        <sz val="10"/>
        <rFont val="宋体"/>
        <family val="3"/>
        <charset val="134"/>
      </rPr>
      <t>啤酒灌装液气控制柜</t>
    </r>
  </si>
  <si>
    <r>
      <rPr>
        <sz val="10"/>
        <rFont val="宋体"/>
        <family val="3"/>
        <charset val="134"/>
      </rPr>
      <t>啤酒瓶壁厚测定仪</t>
    </r>
  </si>
  <si>
    <r>
      <rPr>
        <sz val="10"/>
        <rFont val="宋体"/>
        <family val="3"/>
        <charset val="134"/>
      </rPr>
      <t>啤酒瓶内压力测试机</t>
    </r>
  </si>
  <si>
    <r>
      <rPr>
        <sz val="10"/>
        <rFont val="宋体"/>
        <family val="3"/>
        <charset val="134"/>
      </rPr>
      <t>啤酒瓶预洗机</t>
    </r>
  </si>
  <si>
    <r>
      <rPr>
        <sz val="10"/>
        <rFont val="宋体"/>
        <family val="3"/>
        <charset val="134"/>
      </rPr>
      <t>平板小推车</t>
    </r>
  </si>
  <si>
    <r>
      <rPr>
        <sz val="10"/>
        <rFont val="宋体"/>
        <family val="3"/>
        <charset val="134"/>
      </rPr>
      <t>普通水浴锅</t>
    </r>
  </si>
  <si>
    <r>
      <rPr>
        <sz val="10"/>
        <rFont val="宋体"/>
        <family val="3"/>
        <charset val="134"/>
      </rPr>
      <t>气囊</t>
    </r>
  </si>
  <si>
    <r>
      <rPr>
        <sz val="10"/>
        <rFont val="宋体"/>
        <family val="3"/>
        <charset val="134"/>
      </rPr>
      <t>气体过滤器</t>
    </r>
  </si>
  <si>
    <r>
      <rPr>
        <sz val="10"/>
        <rFont val="宋体"/>
        <family val="3"/>
        <charset val="134"/>
      </rPr>
      <t>气体流量计</t>
    </r>
  </si>
  <si>
    <r>
      <rPr>
        <sz val="10"/>
        <rFont val="宋体"/>
        <family val="3"/>
        <charset val="134"/>
      </rPr>
      <t>清酒电磁流量计</t>
    </r>
  </si>
  <si>
    <r>
      <rPr>
        <sz val="10"/>
        <rFont val="宋体"/>
        <family val="3"/>
        <charset val="134"/>
      </rPr>
      <t>清酒罐</t>
    </r>
  </si>
  <si>
    <r>
      <rPr>
        <sz val="10"/>
        <rFont val="宋体"/>
        <family val="3"/>
        <charset val="134"/>
      </rPr>
      <t>清酒硬管</t>
    </r>
    <r>
      <rPr>
        <sz val="10"/>
        <rFont val="Times New Roman"/>
        <family val="1"/>
      </rPr>
      <t>CIP</t>
    </r>
    <r>
      <rPr>
        <sz val="10"/>
        <rFont val="宋体"/>
        <family val="3"/>
        <charset val="134"/>
      </rPr>
      <t>回泵</t>
    </r>
  </si>
  <si>
    <r>
      <rPr>
        <sz val="10"/>
        <rFont val="宋体"/>
        <family val="3"/>
        <charset val="134"/>
      </rPr>
      <t>清水罐</t>
    </r>
  </si>
  <si>
    <r>
      <rPr>
        <sz val="10"/>
        <rFont val="宋体"/>
        <family val="3"/>
        <charset val="134"/>
      </rPr>
      <t>燃气体监测仪</t>
    </r>
  </si>
  <si>
    <r>
      <rPr>
        <sz val="10"/>
        <rFont val="宋体"/>
        <family val="3"/>
        <charset val="134"/>
      </rPr>
      <t>热水罐</t>
    </r>
  </si>
  <si>
    <r>
      <rPr>
        <sz val="10"/>
        <rFont val="宋体"/>
        <family val="3"/>
        <charset val="134"/>
      </rPr>
      <t>容氧测定仪</t>
    </r>
  </si>
  <si>
    <r>
      <rPr>
        <sz val="10"/>
        <rFont val="宋体"/>
        <family val="3"/>
        <charset val="134"/>
      </rPr>
      <t>软水箱</t>
    </r>
  </si>
  <si>
    <r>
      <rPr>
        <sz val="10"/>
        <rFont val="宋体"/>
        <family val="3"/>
        <charset val="134"/>
      </rPr>
      <t>三层餐车</t>
    </r>
  </si>
  <si>
    <r>
      <rPr>
        <sz val="10"/>
        <rFont val="宋体"/>
        <family val="3"/>
        <charset val="134"/>
      </rPr>
      <t>三人不锈钢座椅</t>
    </r>
  </si>
  <si>
    <r>
      <rPr>
        <sz val="10"/>
        <rFont val="宋体"/>
        <family val="3"/>
        <charset val="134"/>
      </rPr>
      <t>扫描仪</t>
    </r>
    <phoneticPr fontId="6" type="noConversion"/>
  </si>
  <si>
    <r>
      <rPr>
        <sz val="10"/>
        <rFont val="宋体"/>
        <family val="3"/>
        <charset val="134"/>
      </rPr>
      <t>虹光</t>
    </r>
  </si>
  <si>
    <r>
      <rPr>
        <sz val="10"/>
        <rFont val="宋体"/>
        <family val="3"/>
        <charset val="134"/>
      </rPr>
      <t>上煤机</t>
    </r>
  </si>
  <si>
    <r>
      <rPr>
        <sz val="10"/>
        <rFont val="宋体"/>
        <family val="3"/>
        <charset val="134"/>
      </rPr>
      <t>进口</t>
    </r>
    <phoneticPr fontId="6" type="noConversion"/>
  </si>
  <si>
    <r>
      <rPr>
        <sz val="10"/>
        <rFont val="宋体"/>
        <family val="3"/>
        <charset val="134"/>
      </rPr>
      <t>深井潜水泵</t>
    </r>
  </si>
  <si>
    <r>
      <rPr>
        <sz val="10"/>
        <rFont val="宋体"/>
        <family val="3"/>
        <charset val="134"/>
      </rPr>
      <t>生豆芽机</t>
    </r>
  </si>
  <si>
    <r>
      <rPr>
        <sz val="10"/>
        <rFont val="宋体"/>
        <family val="3"/>
        <charset val="134"/>
      </rPr>
      <t>生化培养箱</t>
    </r>
  </si>
  <si>
    <r>
      <rPr>
        <sz val="10"/>
        <rFont val="宋体"/>
        <family val="3"/>
        <charset val="134"/>
      </rPr>
      <t>十二层双门电、气两用蒸饭车</t>
    </r>
  </si>
  <si>
    <r>
      <rPr>
        <sz val="10"/>
        <rFont val="宋体"/>
        <family val="3"/>
        <charset val="134"/>
      </rPr>
      <t>手持喷码机</t>
    </r>
  </si>
  <si>
    <r>
      <rPr>
        <sz val="10"/>
        <rFont val="宋体"/>
        <family val="3"/>
        <charset val="134"/>
      </rPr>
      <t>售饭打卡机</t>
    </r>
  </si>
  <si>
    <r>
      <rPr>
        <sz val="10"/>
        <rFont val="宋体"/>
        <family val="3"/>
        <charset val="134"/>
      </rPr>
      <t>输盖机</t>
    </r>
  </si>
  <si>
    <r>
      <rPr>
        <sz val="10"/>
        <rFont val="宋体"/>
        <family val="3"/>
        <charset val="134"/>
      </rPr>
      <t>输酒泵</t>
    </r>
  </si>
  <si>
    <r>
      <rPr>
        <sz val="10"/>
        <rFont val="宋体"/>
        <family val="3"/>
        <charset val="134"/>
      </rPr>
      <t>输酒泵变频柜</t>
    </r>
  </si>
  <si>
    <r>
      <rPr>
        <sz val="10"/>
        <rFont val="宋体"/>
        <family val="3"/>
        <charset val="134"/>
      </rPr>
      <t>输瓶链带控制柜</t>
    </r>
    <r>
      <rPr>
        <sz val="10"/>
        <rFont val="Times New Roman"/>
        <family val="1"/>
      </rPr>
      <t>A</t>
    </r>
  </si>
  <si>
    <r>
      <rPr>
        <sz val="10"/>
        <rFont val="宋体"/>
        <family val="3"/>
        <charset val="134"/>
      </rPr>
      <t>输箱机配电柜</t>
    </r>
  </si>
  <si>
    <r>
      <rPr>
        <sz val="10"/>
        <rFont val="宋体"/>
        <family val="3"/>
        <charset val="134"/>
      </rPr>
      <t>输箱链带</t>
    </r>
  </si>
  <si>
    <r>
      <rPr>
        <sz val="10"/>
        <rFont val="宋体"/>
        <family val="3"/>
        <charset val="134"/>
      </rPr>
      <t>输箱链带控制柜</t>
    </r>
    <r>
      <rPr>
        <sz val="10"/>
        <rFont val="Times New Roman"/>
        <family val="1"/>
      </rPr>
      <t>A</t>
    </r>
  </si>
  <si>
    <r>
      <rPr>
        <sz val="10"/>
        <rFont val="宋体"/>
        <family val="3"/>
        <charset val="134"/>
      </rPr>
      <t>数据通讯传输系统</t>
    </r>
  </si>
  <si>
    <r>
      <rPr>
        <sz val="10"/>
        <rFont val="宋体"/>
        <family val="3"/>
        <charset val="134"/>
      </rPr>
      <t>数据投影仪</t>
    </r>
  </si>
  <si>
    <r>
      <rPr>
        <sz val="10"/>
        <rFont val="宋体"/>
        <family val="3"/>
        <charset val="134"/>
      </rPr>
      <t>数显水浴恒温振动器</t>
    </r>
  </si>
  <si>
    <r>
      <rPr>
        <sz val="10"/>
        <rFont val="宋体"/>
        <family val="3"/>
        <charset val="134"/>
      </rPr>
      <t>双辊分层给煤装置</t>
    </r>
  </si>
  <si>
    <r>
      <rPr>
        <sz val="10"/>
        <rFont val="宋体"/>
        <family val="3"/>
        <charset val="134"/>
      </rPr>
      <t>双色电接点水位计</t>
    </r>
  </si>
  <si>
    <r>
      <rPr>
        <sz val="10"/>
        <rFont val="宋体"/>
        <family val="3"/>
        <charset val="134"/>
      </rPr>
      <t>双通打荷台</t>
    </r>
  </si>
  <si>
    <r>
      <rPr>
        <sz val="10"/>
        <rFont val="宋体"/>
        <family val="3"/>
        <charset val="134"/>
      </rPr>
      <t>双通工作台</t>
    </r>
  </si>
  <si>
    <r>
      <rPr>
        <sz val="10"/>
        <rFont val="宋体"/>
        <family val="3"/>
        <charset val="134"/>
      </rPr>
      <t>双通工作台（连上层架）</t>
    </r>
  </si>
  <si>
    <r>
      <rPr>
        <sz val="10"/>
        <rFont val="宋体"/>
        <family val="3"/>
        <charset val="134"/>
      </rPr>
      <t>双头双尾撑炒炉</t>
    </r>
  </si>
  <si>
    <r>
      <rPr>
        <sz val="10"/>
        <rFont val="宋体"/>
        <family val="3"/>
        <charset val="134"/>
      </rPr>
      <t>双眼水池</t>
    </r>
  </si>
  <si>
    <r>
      <rPr>
        <sz val="10"/>
        <rFont val="宋体"/>
        <family val="3"/>
        <charset val="134"/>
      </rPr>
      <t>水处理</t>
    </r>
  </si>
  <si>
    <r>
      <rPr>
        <sz val="10"/>
        <rFont val="宋体"/>
        <family val="3"/>
        <charset val="134"/>
      </rPr>
      <t>水封器</t>
    </r>
  </si>
  <si>
    <r>
      <rPr>
        <sz val="10"/>
        <rFont val="宋体"/>
        <family val="3"/>
        <charset val="134"/>
      </rPr>
      <t>水浴锅</t>
    </r>
  </si>
  <si>
    <r>
      <rPr>
        <sz val="10"/>
        <rFont val="宋体"/>
        <family val="3"/>
        <charset val="134"/>
      </rPr>
      <t>水质自动取样器</t>
    </r>
  </si>
  <si>
    <r>
      <rPr>
        <sz val="10"/>
        <rFont val="宋体"/>
        <family val="3"/>
        <charset val="134"/>
      </rPr>
      <t>四层层架</t>
    </r>
  </si>
  <si>
    <r>
      <rPr>
        <sz val="10"/>
        <rFont val="宋体"/>
        <family val="3"/>
        <charset val="134"/>
      </rPr>
      <t>四层货架</t>
    </r>
  </si>
  <si>
    <r>
      <rPr>
        <sz val="10"/>
        <rFont val="宋体"/>
        <family val="3"/>
        <charset val="134"/>
      </rPr>
      <t>东方红</t>
    </r>
    <r>
      <rPr>
        <sz val="10"/>
        <rFont val="Times New Roman"/>
        <family val="1"/>
      </rPr>
      <t>SE250</t>
    </r>
    <phoneticPr fontId="6" type="noConversion"/>
  </si>
  <si>
    <r>
      <rPr>
        <sz val="10"/>
        <rFont val="宋体"/>
        <family val="3"/>
        <charset val="134"/>
      </rPr>
      <t>东方红</t>
    </r>
  </si>
  <si>
    <r>
      <rPr>
        <sz val="10"/>
        <rFont val="宋体"/>
        <family val="3"/>
        <charset val="134"/>
      </rPr>
      <t>四轮拖车</t>
    </r>
  </si>
  <si>
    <r>
      <rPr>
        <sz val="10"/>
        <rFont val="宋体"/>
        <family val="3"/>
        <charset val="134"/>
      </rPr>
      <t>速冷机电磁流量计</t>
    </r>
  </si>
  <si>
    <r>
      <rPr>
        <sz val="10"/>
        <rFont val="宋体"/>
        <family val="3"/>
        <charset val="134"/>
      </rPr>
      <t>酸化调节池潜水搅拌机</t>
    </r>
  </si>
  <si>
    <r>
      <rPr>
        <sz val="10"/>
        <rFont val="宋体"/>
        <family val="3"/>
        <charset val="134"/>
      </rPr>
      <t>糖化、发酵自控</t>
    </r>
  </si>
  <si>
    <r>
      <rPr>
        <sz val="10"/>
        <rFont val="宋体"/>
        <family val="3"/>
        <charset val="134"/>
      </rPr>
      <t>糖化操作柜</t>
    </r>
  </si>
  <si>
    <r>
      <rPr>
        <sz val="10"/>
        <rFont val="宋体"/>
        <family val="3"/>
        <charset val="134"/>
      </rPr>
      <t>糖化操作平台</t>
    </r>
  </si>
  <si>
    <r>
      <rPr>
        <sz val="10"/>
        <rFont val="宋体"/>
        <family val="3"/>
        <charset val="134"/>
      </rPr>
      <t>糖化工艺管道</t>
    </r>
  </si>
  <si>
    <r>
      <rPr>
        <sz val="10"/>
        <rFont val="宋体"/>
        <family val="3"/>
        <charset val="134"/>
      </rPr>
      <t>糖化锅</t>
    </r>
  </si>
  <si>
    <r>
      <rPr>
        <sz val="10"/>
        <rFont val="宋体"/>
        <family val="3"/>
        <charset val="134"/>
      </rPr>
      <t>糖化碱罐</t>
    </r>
  </si>
  <si>
    <r>
      <rPr>
        <sz val="10"/>
        <rFont val="宋体"/>
        <family val="3"/>
        <charset val="134"/>
      </rPr>
      <t>糖化控制系统</t>
    </r>
  </si>
  <si>
    <r>
      <rPr>
        <sz val="10"/>
        <rFont val="宋体"/>
        <family val="3"/>
        <charset val="134"/>
      </rPr>
      <t>糖化热水泵</t>
    </r>
  </si>
  <si>
    <r>
      <rPr>
        <sz val="10"/>
        <rFont val="宋体"/>
        <family val="3"/>
        <charset val="134"/>
      </rPr>
      <t>糖化蒸汽流量计</t>
    </r>
  </si>
  <si>
    <r>
      <rPr>
        <sz val="10"/>
        <rFont val="宋体"/>
        <family val="3"/>
        <charset val="134"/>
      </rPr>
      <t>添加机组</t>
    </r>
  </si>
  <si>
    <r>
      <rPr>
        <sz val="10"/>
        <rFont val="宋体"/>
        <family val="3"/>
        <charset val="134"/>
      </rPr>
      <t>调校刷洗专用车</t>
    </r>
  </si>
  <si>
    <r>
      <rPr>
        <sz val="10"/>
        <rFont val="宋体"/>
        <family val="3"/>
        <charset val="134"/>
      </rPr>
      <t>贴标机</t>
    </r>
  </si>
  <si>
    <r>
      <rPr>
        <sz val="10"/>
        <rFont val="宋体"/>
        <family val="3"/>
        <charset val="134"/>
      </rPr>
      <t>贴标机</t>
    </r>
    <phoneticPr fontId="6" type="noConversion"/>
  </si>
  <si>
    <r>
      <t>ZD-TJSB24-8-6.</t>
    </r>
    <r>
      <rPr>
        <sz val="10"/>
        <rFont val="宋体"/>
        <family val="3"/>
        <charset val="134"/>
      </rPr>
      <t>衬套（</t>
    </r>
    <r>
      <rPr>
        <sz val="10"/>
        <rFont val="Times New Roman"/>
        <family val="1"/>
      </rPr>
      <t>4</t>
    </r>
    <r>
      <rPr>
        <sz val="10"/>
        <rFont val="宋体"/>
        <family val="3"/>
        <charset val="134"/>
      </rPr>
      <t>）</t>
    </r>
    <r>
      <rPr>
        <sz val="10"/>
        <rFont val="Times New Roman"/>
        <family val="1"/>
      </rPr>
      <t>.ZD24-05</t>
    </r>
    <r>
      <rPr>
        <sz val="10"/>
        <rFont val="宋体"/>
        <family val="3"/>
        <charset val="134"/>
      </rPr>
      <t>Ⅱ</t>
    </r>
    <r>
      <rPr>
        <sz val="10"/>
        <rFont val="Times New Roman"/>
        <family val="1"/>
      </rPr>
      <t>-20</t>
    </r>
  </si>
  <si>
    <r>
      <t>ZD-TJSB24-8-6.</t>
    </r>
    <r>
      <rPr>
        <sz val="10"/>
        <rFont val="宋体"/>
        <family val="3"/>
        <charset val="134"/>
      </rPr>
      <t>接胶盒</t>
    </r>
    <r>
      <rPr>
        <sz val="10"/>
        <rFont val="Times New Roman"/>
        <family val="1"/>
      </rPr>
      <t>.ZD24-8-6</t>
    </r>
  </si>
  <si>
    <r>
      <t>ZD-TJSB24-8-6.</t>
    </r>
    <r>
      <rPr>
        <sz val="10"/>
        <rFont val="宋体"/>
        <family val="3"/>
        <charset val="134"/>
      </rPr>
      <t>身标夹指</t>
    </r>
    <r>
      <rPr>
        <sz val="10"/>
        <rFont val="Times New Roman"/>
        <family val="1"/>
      </rPr>
      <t>.ZD24-13S-03.04</t>
    </r>
  </si>
  <si>
    <r>
      <t>ZD-TJSB24-8-6.</t>
    </r>
    <r>
      <rPr>
        <sz val="10"/>
        <rFont val="宋体"/>
        <family val="3"/>
        <charset val="134"/>
      </rPr>
      <t>中心轴套</t>
    </r>
    <r>
      <rPr>
        <sz val="10"/>
        <rFont val="Times New Roman"/>
        <family val="1"/>
      </rPr>
      <t>.ZD24-13T-25</t>
    </r>
  </si>
  <si>
    <r>
      <t>ZD-TJSB45-8-9.</t>
    </r>
    <r>
      <rPr>
        <sz val="10"/>
        <rFont val="宋体"/>
        <family val="3"/>
        <charset val="134"/>
      </rPr>
      <t>环标夹指</t>
    </r>
    <r>
      <rPr>
        <sz val="10"/>
        <rFont val="Times New Roman"/>
        <family val="1"/>
      </rPr>
      <t>.ZD24-13J-02.03</t>
    </r>
    <phoneticPr fontId="6" type="noConversion"/>
  </si>
  <si>
    <r>
      <rPr>
        <sz val="10"/>
        <rFont val="宋体"/>
        <family val="3"/>
        <charset val="134"/>
      </rPr>
      <t>脱氧水罐</t>
    </r>
  </si>
  <si>
    <r>
      <rPr>
        <sz val="10"/>
        <rFont val="宋体"/>
        <family val="3"/>
        <charset val="134"/>
      </rPr>
      <t>脱氧水系统</t>
    </r>
  </si>
  <si>
    <r>
      <rPr>
        <sz val="10"/>
        <rFont val="宋体"/>
        <family val="3"/>
        <charset val="134"/>
      </rPr>
      <t>污水泵</t>
    </r>
  </si>
  <si>
    <r>
      <rPr>
        <sz val="10"/>
        <rFont val="宋体"/>
        <family val="3"/>
        <charset val="134"/>
      </rPr>
      <t>污水工艺管道</t>
    </r>
  </si>
  <si>
    <r>
      <rPr>
        <sz val="10"/>
        <rFont val="宋体"/>
        <family val="3"/>
        <charset val="134"/>
      </rPr>
      <t>无阀过滤器</t>
    </r>
  </si>
  <si>
    <r>
      <rPr>
        <sz val="10"/>
        <rFont val="宋体"/>
        <family val="3"/>
        <charset val="134"/>
      </rPr>
      <t>无压力输送机</t>
    </r>
  </si>
  <si>
    <r>
      <rPr>
        <sz val="10"/>
        <rFont val="宋体"/>
        <family val="3"/>
        <charset val="134"/>
      </rPr>
      <t>无压力输送配电柜</t>
    </r>
  </si>
  <si>
    <r>
      <rPr>
        <sz val="10"/>
        <rFont val="宋体"/>
        <family val="3"/>
        <charset val="134"/>
      </rPr>
      <t>洗罐低压配电柜</t>
    </r>
  </si>
  <si>
    <r>
      <rPr>
        <sz val="10"/>
        <rFont val="宋体"/>
        <family val="3"/>
        <charset val="134"/>
      </rPr>
      <t>洗瓶机配电柜</t>
    </r>
  </si>
  <si>
    <r>
      <rPr>
        <sz val="10"/>
        <rFont val="宋体"/>
        <family val="3"/>
        <charset val="134"/>
      </rPr>
      <t>洗瓶刷白色毛</t>
    </r>
  </si>
  <si>
    <r>
      <rPr>
        <sz val="10"/>
        <rFont val="宋体"/>
        <family val="3"/>
        <charset val="134"/>
      </rPr>
      <t>台</t>
    </r>
    <phoneticPr fontId="6" type="noConversion"/>
  </si>
  <si>
    <r>
      <rPr>
        <sz val="10"/>
        <rFont val="宋体"/>
        <family val="3"/>
        <charset val="134"/>
      </rPr>
      <t>旋流槽</t>
    </r>
  </si>
  <si>
    <r>
      <rPr>
        <sz val="10"/>
        <rFont val="宋体"/>
        <family val="3"/>
        <charset val="134"/>
      </rPr>
      <t>旋转过滤机</t>
    </r>
  </si>
  <si>
    <r>
      <rPr>
        <sz val="10"/>
        <rFont val="宋体"/>
        <family val="3"/>
        <charset val="134"/>
      </rPr>
      <t>循环水冷却系统</t>
    </r>
  </si>
  <si>
    <r>
      <rPr>
        <sz val="10"/>
        <rFont val="宋体"/>
        <family val="3"/>
        <charset val="134"/>
      </rPr>
      <t>压滤机电磁流量计</t>
    </r>
  </si>
  <si>
    <r>
      <rPr>
        <sz val="10"/>
        <rFont val="宋体"/>
        <family val="3"/>
        <charset val="134"/>
      </rPr>
      <t>压滤机进料泵</t>
    </r>
  </si>
  <si>
    <r>
      <rPr>
        <sz val="10"/>
        <rFont val="宋体"/>
        <family val="3"/>
        <charset val="134"/>
      </rPr>
      <t>压面机</t>
    </r>
  </si>
  <si>
    <r>
      <rPr>
        <sz val="10"/>
        <rFont val="宋体"/>
        <family val="3"/>
        <charset val="134"/>
      </rPr>
      <t>交通、办公</t>
    </r>
    <phoneticPr fontId="6" type="noConversion"/>
  </si>
  <si>
    <r>
      <rPr>
        <sz val="10"/>
        <rFont val="宋体"/>
        <family val="3"/>
        <charset val="134"/>
      </rPr>
      <t>液化气罐</t>
    </r>
  </si>
  <si>
    <r>
      <rPr>
        <sz val="10"/>
        <rFont val="宋体"/>
        <family val="3"/>
        <charset val="134"/>
      </rPr>
      <t>液碱罐</t>
    </r>
  </si>
  <si>
    <r>
      <rPr>
        <sz val="10"/>
        <rFont val="宋体"/>
        <family val="3"/>
        <charset val="134"/>
      </rPr>
      <t>医用手提式蒸汽消毒器</t>
    </r>
  </si>
  <si>
    <r>
      <rPr>
        <sz val="10"/>
        <rFont val="宋体"/>
        <family val="3"/>
        <charset val="134"/>
      </rPr>
      <t>仪表柜</t>
    </r>
  </si>
  <si>
    <r>
      <rPr>
        <sz val="10"/>
        <rFont val="宋体"/>
        <family val="3"/>
        <charset val="134"/>
      </rPr>
      <t>移动车电磁流量计</t>
    </r>
  </si>
  <si>
    <r>
      <rPr>
        <sz val="10"/>
        <rFont val="宋体"/>
        <family val="3"/>
        <charset val="134"/>
      </rPr>
      <t>预沉池排泥泵</t>
    </r>
  </si>
  <si>
    <r>
      <rPr>
        <sz val="10"/>
        <rFont val="宋体"/>
        <family val="3"/>
        <charset val="134"/>
      </rPr>
      <t>预沉池设备</t>
    </r>
  </si>
  <si>
    <r>
      <rPr>
        <sz val="10"/>
        <rFont val="宋体"/>
        <family val="3"/>
        <charset val="134"/>
      </rPr>
      <t>原水泵</t>
    </r>
  </si>
  <si>
    <r>
      <rPr>
        <sz val="10"/>
        <rFont val="宋体"/>
        <family val="3"/>
        <charset val="134"/>
      </rPr>
      <t>暂贮槽</t>
    </r>
  </si>
  <si>
    <r>
      <rPr>
        <sz val="10"/>
        <rFont val="宋体"/>
        <family val="3"/>
        <charset val="134"/>
      </rPr>
      <t>暂贮槽麦汁泵</t>
    </r>
  </si>
  <si>
    <r>
      <rPr>
        <sz val="10"/>
        <rFont val="宋体"/>
        <family val="3"/>
        <charset val="134"/>
      </rPr>
      <t>长条桌</t>
    </r>
  </si>
  <si>
    <r>
      <rPr>
        <sz val="10"/>
        <rFont val="宋体"/>
        <family val="3"/>
        <charset val="134"/>
      </rPr>
      <t>针式打印机</t>
    </r>
  </si>
  <si>
    <r>
      <rPr>
        <sz val="10"/>
        <rFont val="宋体"/>
        <family val="3"/>
        <charset val="134"/>
      </rPr>
      <t>办公、软件</t>
    </r>
    <phoneticPr fontId="6" type="noConversion"/>
  </si>
  <si>
    <t>EPSON</t>
    <phoneticPr fontId="6" type="noConversion"/>
  </si>
  <si>
    <r>
      <rPr>
        <sz val="10"/>
        <rFont val="宋体"/>
        <family val="3"/>
        <charset val="134"/>
      </rPr>
      <t>台</t>
    </r>
    <phoneticPr fontId="6" type="noConversion"/>
  </si>
  <si>
    <r>
      <rPr>
        <sz val="10"/>
        <rFont val="宋体"/>
        <family val="3"/>
        <charset val="134"/>
      </rPr>
      <t>蒸汽泵</t>
    </r>
  </si>
  <si>
    <r>
      <rPr>
        <sz val="10"/>
        <rFont val="宋体"/>
        <family val="3"/>
        <charset val="134"/>
      </rPr>
      <t>蒸汽分气缸</t>
    </r>
  </si>
  <si>
    <r>
      <rPr>
        <sz val="10"/>
        <rFont val="宋体"/>
        <family val="3"/>
        <charset val="134"/>
      </rPr>
      <t>蒸汽流量计</t>
    </r>
  </si>
  <si>
    <r>
      <rPr>
        <sz val="10"/>
        <rFont val="宋体"/>
        <family val="3"/>
        <charset val="134"/>
      </rPr>
      <t>蒸汽往复泵</t>
    </r>
  </si>
  <si>
    <r>
      <rPr>
        <sz val="10"/>
        <rFont val="宋体"/>
        <family val="3"/>
        <charset val="134"/>
      </rPr>
      <t>直流氩弧焊机</t>
    </r>
  </si>
  <si>
    <r>
      <rPr>
        <sz val="10"/>
        <rFont val="宋体"/>
        <family val="3"/>
        <charset val="134"/>
      </rPr>
      <t>纸箱成型机</t>
    </r>
  </si>
  <si>
    <r>
      <rPr>
        <sz val="10"/>
        <rFont val="宋体"/>
        <family val="3"/>
        <charset val="134"/>
      </rPr>
      <t>制冷机</t>
    </r>
  </si>
  <si>
    <r>
      <rPr>
        <sz val="10"/>
        <rFont val="宋体"/>
        <family val="3"/>
        <charset val="134"/>
      </rPr>
      <t>制样研磨机</t>
    </r>
  </si>
  <si>
    <r>
      <rPr>
        <sz val="10"/>
        <rFont val="宋体"/>
        <family val="3"/>
        <charset val="134"/>
      </rPr>
      <t>中央馈电柜</t>
    </r>
  </si>
  <si>
    <r>
      <rPr>
        <sz val="10"/>
        <rFont val="宋体"/>
        <family val="3"/>
        <charset val="134"/>
      </rPr>
      <t>终端水泵</t>
    </r>
  </si>
  <si>
    <r>
      <rPr>
        <sz val="10"/>
        <rFont val="宋体"/>
        <family val="3"/>
        <charset val="134"/>
      </rPr>
      <t>重蒸馏水器</t>
    </r>
  </si>
  <si>
    <r>
      <rPr>
        <sz val="10"/>
        <rFont val="宋体"/>
        <family val="3"/>
        <charset val="134"/>
      </rPr>
      <t>煮沸锅</t>
    </r>
  </si>
  <si>
    <r>
      <rPr>
        <sz val="10"/>
        <rFont val="宋体"/>
        <family val="3"/>
        <charset val="134"/>
      </rPr>
      <t>煮沸锅麦汁泵</t>
    </r>
  </si>
  <si>
    <r>
      <rPr>
        <sz val="10"/>
        <rFont val="宋体"/>
        <family val="3"/>
        <charset val="134"/>
      </rPr>
      <t>煮沸锅烧碱泵</t>
    </r>
  </si>
  <si>
    <r>
      <rPr>
        <sz val="10"/>
        <rFont val="宋体"/>
        <family val="3"/>
        <charset val="134"/>
      </rPr>
      <t>煮沸麦汁泵变频控制柜</t>
    </r>
  </si>
  <si>
    <r>
      <rPr>
        <sz val="10"/>
        <rFont val="宋体"/>
        <family val="3"/>
        <charset val="134"/>
      </rPr>
      <t>煮沸麦汁循环泵</t>
    </r>
  </si>
  <si>
    <r>
      <rPr>
        <sz val="10"/>
        <rFont val="宋体"/>
        <family val="3"/>
        <charset val="134"/>
      </rPr>
      <t>铸铁省煤器</t>
    </r>
  </si>
  <si>
    <r>
      <rPr>
        <sz val="10"/>
        <rFont val="宋体"/>
        <family val="3"/>
        <charset val="134"/>
      </rPr>
      <t>转鼓浓缩带式压滤机</t>
    </r>
  </si>
  <si>
    <r>
      <rPr>
        <sz val="10"/>
        <rFont val="宋体"/>
        <family val="3"/>
        <charset val="134"/>
      </rPr>
      <t>装箱机</t>
    </r>
  </si>
  <si>
    <r>
      <rPr>
        <sz val="10"/>
        <rFont val="宋体"/>
        <family val="3"/>
        <charset val="134"/>
      </rPr>
      <t>装载机电子称</t>
    </r>
  </si>
  <si>
    <r>
      <rPr>
        <sz val="10"/>
        <rFont val="宋体"/>
        <family val="3"/>
        <charset val="134"/>
      </rPr>
      <t>交通、办公</t>
    </r>
    <phoneticPr fontId="6" type="noConversion"/>
  </si>
  <si>
    <r>
      <rPr>
        <sz val="10"/>
        <rFont val="宋体"/>
        <family val="3"/>
        <charset val="134"/>
      </rPr>
      <t>紫外线杀菌机</t>
    </r>
  </si>
  <si>
    <r>
      <rPr>
        <sz val="10"/>
        <rFont val="宋体"/>
        <family val="3"/>
        <charset val="134"/>
      </rPr>
      <t>自动恒温电饼档</t>
    </r>
  </si>
  <si>
    <r>
      <rPr>
        <sz val="10"/>
        <rFont val="宋体"/>
        <family val="3"/>
        <charset val="134"/>
      </rPr>
      <t>自动润滑装置</t>
    </r>
  </si>
  <si>
    <r>
      <rPr>
        <sz val="10"/>
        <rFont val="宋体"/>
        <family val="3"/>
        <charset val="134"/>
      </rPr>
      <t>自动糖化器</t>
    </r>
  </si>
  <si>
    <r>
      <rPr>
        <sz val="10"/>
        <rFont val="宋体"/>
        <family val="3"/>
        <charset val="134"/>
      </rPr>
      <t>自衡振动筛</t>
    </r>
  </si>
  <si>
    <r>
      <rPr>
        <sz val="10"/>
        <rFont val="宋体"/>
        <family val="3"/>
        <charset val="134"/>
      </rPr>
      <t>自耦减压启动控制柜</t>
    </r>
  </si>
  <si>
    <r>
      <rPr>
        <sz val="10"/>
        <rFont val="宋体"/>
        <family val="3"/>
        <charset val="134"/>
      </rPr>
      <t>自耦减压起动控制柜</t>
    </r>
  </si>
  <si>
    <r>
      <rPr>
        <sz val="10"/>
        <rFont val="宋体"/>
        <family val="3"/>
        <charset val="134"/>
      </rPr>
      <t>自耦减压起动控制柜</t>
    </r>
    <r>
      <rPr>
        <sz val="10"/>
        <rFont val="Times New Roman"/>
        <family val="1"/>
      </rPr>
      <t>(</t>
    </r>
    <r>
      <rPr>
        <sz val="10"/>
        <rFont val="宋体"/>
        <family val="3"/>
        <charset val="134"/>
      </rPr>
      <t>干粉机</t>
    </r>
    <r>
      <rPr>
        <sz val="10"/>
        <rFont val="Times New Roman"/>
        <family val="1"/>
      </rPr>
      <t>)</t>
    </r>
  </si>
  <si>
    <r>
      <rPr>
        <sz val="10"/>
        <rFont val="宋体"/>
        <family val="3"/>
        <charset val="134"/>
      </rPr>
      <t>钻床</t>
    </r>
  </si>
  <si>
    <r>
      <rPr>
        <sz val="10"/>
        <rFont val="宋体"/>
        <family val="3"/>
        <charset val="134"/>
      </rPr>
      <t>合</t>
    </r>
    <r>
      <rPr>
        <sz val="10"/>
        <rFont val="Times New Roman"/>
        <family val="1"/>
      </rPr>
      <t xml:space="preserve">            </t>
    </r>
    <r>
      <rPr>
        <sz val="10"/>
        <rFont val="宋体"/>
        <family val="3"/>
        <charset val="134"/>
      </rPr>
      <t>计</t>
    </r>
    <phoneticPr fontId="6" type="noConversion"/>
  </si>
  <si>
    <t>品种生产装置</t>
    <phoneticPr fontId="6" type="noConversion"/>
  </si>
  <si>
    <t>EV2000 37KW</t>
    <phoneticPr fontId="6" type="noConversion"/>
  </si>
  <si>
    <r>
      <t>6</t>
    </r>
    <r>
      <rPr>
        <sz val="10"/>
        <rFont val="宋体"/>
        <family val="3"/>
        <charset val="134"/>
      </rPr>
      <t>门冰箱</t>
    </r>
    <phoneticPr fontId="6" type="noConversion"/>
  </si>
  <si>
    <t>针式打印机</t>
    <phoneticPr fontId="6" type="noConversion"/>
  </si>
  <si>
    <r>
      <rPr>
        <sz val="10"/>
        <rFont val="宋体"/>
        <family val="3"/>
        <charset val="134"/>
      </rPr>
      <t>变配电设备点检表</t>
    </r>
    <r>
      <rPr>
        <sz val="10"/>
        <rFont val="Times New Roman"/>
        <family val="1"/>
      </rPr>
      <t/>
    </r>
    <phoneticPr fontId="6" type="noConversion"/>
  </si>
  <si>
    <r>
      <t>100</t>
    </r>
    <r>
      <rPr>
        <sz val="10"/>
        <rFont val="宋体"/>
        <family val="3"/>
        <charset val="134"/>
      </rPr>
      <t>张</t>
    </r>
    <r>
      <rPr>
        <sz val="10"/>
        <rFont val="Times New Roman"/>
        <family val="1"/>
      </rPr>
      <t>/</t>
    </r>
    <r>
      <rPr>
        <sz val="10"/>
        <rFont val="宋体"/>
        <family val="3"/>
        <charset val="134"/>
      </rPr>
      <t>本</t>
    </r>
  </si>
  <si>
    <t>插头</t>
    <phoneticPr fontId="6" type="noConversion"/>
  </si>
  <si>
    <t>GNT-10L1</t>
  </si>
  <si>
    <t>T3-16</t>
  </si>
  <si>
    <r>
      <rPr>
        <sz val="10"/>
        <rFont val="宋体"/>
        <family val="3"/>
        <charset val="134"/>
      </rPr>
      <t>粗泥抹</t>
    </r>
    <r>
      <rPr>
        <sz val="10"/>
        <rFont val="Times New Roman"/>
        <family val="1"/>
      </rPr>
      <t xml:space="preserve"> </t>
    </r>
    <phoneticPr fontId="6" type="noConversion"/>
  </si>
  <si>
    <t>110X355</t>
  </si>
  <si>
    <t>MP2000</t>
    <phoneticPr fontId="6" type="noConversion"/>
  </si>
  <si>
    <t>Aficio</t>
  </si>
  <si>
    <r>
      <rPr>
        <sz val="10"/>
        <rFont val="宋体"/>
        <family val="3"/>
        <charset val="134"/>
      </rPr>
      <t>大米粉碎机日点检表</t>
    </r>
    <r>
      <rPr>
        <sz val="10"/>
        <rFont val="Times New Roman"/>
        <family val="1"/>
      </rPr>
      <t/>
    </r>
    <phoneticPr fontId="6" type="noConversion"/>
  </si>
  <si>
    <t>蝶阀</t>
    <phoneticPr fontId="6" type="noConversion"/>
  </si>
  <si>
    <t>D71X-16P DN125</t>
  </si>
  <si>
    <t>40×4</t>
    <phoneticPr fontId="6" type="noConversion"/>
  </si>
  <si>
    <t>M16×110</t>
    <phoneticPr fontId="6" type="noConversion"/>
  </si>
  <si>
    <t>DZ47LE-63 C60</t>
    <phoneticPr fontId="6" type="noConversion"/>
  </si>
  <si>
    <t>镀锌螺栓</t>
    <phoneticPr fontId="6" type="noConversion"/>
  </si>
  <si>
    <t>断路器</t>
    <phoneticPr fontId="6" type="noConversion"/>
  </si>
  <si>
    <r>
      <rPr>
        <sz val="10"/>
        <rFont val="宋体"/>
        <family val="3"/>
        <charset val="134"/>
      </rPr>
      <t>二氧化碳回收设备点检表</t>
    </r>
    <r>
      <rPr>
        <sz val="10"/>
        <rFont val="Times New Roman"/>
        <family val="1"/>
      </rPr>
      <t/>
    </r>
    <phoneticPr fontId="6" type="noConversion"/>
  </si>
  <si>
    <r>
      <t>A4</t>
    </r>
    <r>
      <rPr>
        <sz val="10"/>
        <rFont val="宋体"/>
        <family val="3"/>
        <charset val="134"/>
      </rPr>
      <t>，</t>
    </r>
    <r>
      <rPr>
        <sz val="10"/>
        <rFont val="Times New Roman"/>
        <family val="1"/>
      </rPr>
      <t>1*31</t>
    </r>
    <r>
      <rPr>
        <sz val="10"/>
        <rFont val="宋体"/>
        <family val="3"/>
        <charset val="134"/>
      </rPr>
      <t>，</t>
    </r>
    <r>
      <rPr>
        <sz val="10"/>
        <rFont val="Times New Roman"/>
        <family val="1"/>
      </rPr>
      <t>50g</t>
    </r>
  </si>
  <si>
    <t>凡士林食品级</t>
    <phoneticPr fontId="6" type="noConversion"/>
  </si>
  <si>
    <t>SH/T 0767-2005</t>
  </si>
  <si>
    <t>δ1.5</t>
  </si>
  <si>
    <t>高强度螺栓</t>
    <phoneticPr fontId="6" type="noConversion"/>
  </si>
  <si>
    <r>
      <t>M10×25</t>
    </r>
    <r>
      <rPr>
        <sz val="10"/>
        <rFont val="宋体"/>
        <family val="3"/>
        <charset val="134"/>
      </rPr>
      <t>（</t>
    </r>
    <r>
      <rPr>
        <sz val="10"/>
        <rFont val="Times New Roman"/>
        <family val="1"/>
      </rPr>
      <t>8.8</t>
    </r>
    <r>
      <rPr>
        <sz val="10"/>
        <rFont val="宋体"/>
        <family val="3"/>
        <charset val="134"/>
      </rPr>
      <t>级）</t>
    </r>
  </si>
  <si>
    <r>
      <t>M16×65</t>
    </r>
    <r>
      <rPr>
        <sz val="10"/>
        <rFont val="宋体"/>
        <family val="3"/>
        <charset val="134"/>
      </rPr>
      <t>（</t>
    </r>
    <r>
      <rPr>
        <sz val="10"/>
        <rFont val="Times New Roman"/>
        <family val="1"/>
      </rPr>
      <t>8.8</t>
    </r>
    <r>
      <rPr>
        <sz val="10"/>
        <rFont val="宋体"/>
        <family val="3"/>
        <charset val="134"/>
      </rPr>
      <t>级）</t>
    </r>
  </si>
  <si>
    <r>
      <rPr>
        <sz val="10"/>
        <rFont val="宋体"/>
        <family val="3"/>
        <charset val="134"/>
      </rPr>
      <t>高强度圆柱头内六角螺钉</t>
    </r>
    <r>
      <rPr>
        <sz val="10"/>
        <rFont val="Times New Roman"/>
        <family val="1"/>
      </rPr>
      <t/>
    </r>
    <phoneticPr fontId="6" type="noConversion"/>
  </si>
  <si>
    <r>
      <t>M5×20</t>
    </r>
    <r>
      <rPr>
        <sz val="10"/>
        <rFont val="宋体"/>
        <family val="3"/>
        <charset val="134"/>
      </rPr>
      <t>（</t>
    </r>
    <r>
      <rPr>
        <sz val="10"/>
        <rFont val="Times New Roman"/>
        <family val="1"/>
      </rPr>
      <t>8.8</t>
    </r>
    <r>
      <rPr>
        <sz val="10"/>
        <rFont val="宋体"/>
        <family val="3"/>
        <charset val="134"/>
      </rPr>
      <t>级）</t>
    </r>
    <phoneticPr fontId="6" type="noConversion"/>
  </si>
  <si>
    <r>
      <rPr>
        <sz val="10"/>
        <rFont val="宋体"/>
        <family val="3"/>
        <charset val="134"/>
      </rPr>
      <t>工作餐申请单</t>
    </r>
    <r>
      <rPr>
        <sz val="10"/>
        <rFont val="Times New Roman"/>
        <family val="1"/>
      </rPr>
      <t/>
    </r>
    <phoneticPr fontId="6" type="noConversion"/>
  </si>
  <si>
    <r>
      <t>185*90mm</t>
    </r>
    <r>
      <rPr>
        <sz val="10"/>
        <rFont val="宋体"/>
        <family val="3"/>
        <charset val="134"/>
      </rPr>
      <t>，</t>
    </r>
    <r>
      <rPr>
        <sz val="10"/>
        <rFont val="Times New Roman"/>
        <family val="1"/>
      </rPr>
      <t>1*2*50,60g</t>
    </r>
    <phoneticPr fontId="6" type="noConversion"/>
  </si>
  <si>
    <r>
      <rPr>
        <sz val="10"/>
        <rFont val="宋体"/>
        <family val="3"/>
        <charset val="134"/>
      </rPr>
      <t>锅炉设备日常点检表</t>
    </r>
    <r>
      <rPr>
        <sz val="10"/>
        <rFont val="Times New Roman"/>
        <family val="1"/>
      </rPr>
      <t/>
    </r>
    <phoneticPr fontId="6" type="noConversion"/>
  </si>
  <si>
    <t>过滤袋</t>
    <phoneticPr fontId="6" type="noConversion"/>
  </si>
  <si>
    <t>180mm*800mm</t>
  </si>
  <si>
    <t>高压开关柜</t>
    <phoneticPr fontId="6" type="noConversion"/>
  </si>
  <si>
    <t>混凝土震动器</t>
    <phoneticPr fontId="6" type="noConversion"/>
  </si>
  <si>
    <t>ZN50</t>
  </si>
  <si>
    <t>交流接触器</t>
    <phoneticPr fontId="6" type="noConversion"/>
  </si>
  <si>
    <t>CJX2-3201 AC36</t>
  </si>
  <si>
    <r>
      <rPr>
        <sz val="10"/>
        <rFont val="宋体"/>
        <family val="3"/>
        <charset val="134"/>
      </rPr>
      <t>空压设备点检表</t>
    </r>
    <r>
      <rPr>
        <sz val="10"/>
        <rFont val="Times New Roman"/>
        <family val="1"/>
      </rPr>
      <t/>
    </r>
    <phoneticPr fontId="6" type="noConversion"/>
  </si>
  <si>
    <t>螺栓</t>
    <phoneticPr fontId="6" type="noConversion"/>
  </si>
  <si>
    <r>
      <t>M10×50</t>
    </r>
    <r>
      <rPr>
        <sz val="10"/>
        <rFont val="宋体"/>
        <family val="3"/>
        <charset val="134"/>
      </rPr>
      <t>（</t>
    </r>
    <r>
      <rPr>
        <sz val="10"/>
        <rFont val="Times New Roman"/>
        <family val="1"/>
      </rPr>
      <t>8.8</t>
    </r>
    <r>
      <rPr>
        <sz val="10"/>
        <rFont val="宋体"/>
        <family val="3"/>
        <charset val="134"/>
      </rPr>
      <t>级）</t>
    </r>
  </si>
  <si>
    <r>
      <rPr>
        <sz val="10"/>
        <rFont val="宋体"/>
        <family val="3"/>
        <charset val="134"/>
      </rPr>
      <t>螺栓</t>
    </r>
    <r>
      <rPr>
        <sz val="10"/>
        <rFont val="Times New Roman"/>
        <family val="1"/>
      </rPr>
      <t/>
    </r>
    <phoneticPr fontId="6" type="noConversion"/>
  </si>
  <si>
    <r>
      <t>M12×30</t>
    </r>
    <r>
      <rPr>
        <sz val="10"/>
        <rFont val="宋体"/>
        <family val="3"/>
        <charset val="134"/>
      </rPr>
      <t>（</t>
    </r>
    <r>
      <rPr>
        <sz val="10"/>
        <rFont val="Times New Roman"/>
        <family val="1"/>
      </rPr>
      <t>8.8</t>
    </r>
    <r>
      <rPr>
        <sz val="10"/>
        <rFont val="宋体"/>
        <family val="3"/>
        <charset val="134"/>
      </rPr>
      <t>级）</t>
    </r>
    <phoneticPr fontId="6" type="noConversion"/>
  </si>
  <si>
    <t>M14×65</t>
  </si>
  <si>
    <r>
      <rPr>
        <sz val="10"/>
        <rFont val="宋体"/>
        <family val="3"/>
        <charset val="134"/>
      </rPr>
      <t>麦芽粉碎机日点检表</t>
    </r>
    <r>
      <rPr>
        <sz val="10"/>
        <rFont val="Times New Roman"/>
        <family val="1"/>
      </rPr>
      <t/>
    </r>
    <phoneticPr fontId="6" type="noConversion"/>
  </si>
  <si>
    <t>内存卡</t>
    <phoneticPr fontId="6" type="noConversion"/>
  </si>
  <si>
    <t>SIMATICMicro128KByte(MMC)</t>
  </si>
  <si>
    <t>尼龙板</t>
    <phoneticPr fontId="6" type="noConversion"/>
  </si>
  <si>
    <t>δ10</t>
  </si>
  <si>
    <r>
      <rPr>
        <sz val="10"/>
        <rFont val="宋体"/>
        <family val="3"/>
        <charset val="134"/>
      </rPr>
      <t>派车单</t>
    </r>
    <r>
      <rPr>
        <sz val="10"/>
        <rFont val="Times New Roman"/>
        <family val="1"/>
      </rPr>
      <t/>
    </r>
    <phoneticPr fontId="6" type="noConversion"/>
  </si>
  <si>
    <r>
      <t>185*130mm</t>
    </r>
    <r>
      <rPr>
        <sz val="10"/>
        <rFont val="宋体"/>
        <family val="3"/>
        <charset val="134"/>
      </rPr>
      <t>，</t>
    </r>
    <r>
      <rPr>
        <sz val="10"/>
        <rFont val="Times New Roman"/>
        <family val="1"/>
      </rPr>
      <t>1*2*50,50g</t>
    </r>
  </si>
  <si>
    <r>
      <rPr>
        <sz val="10"/>
        <rFont val="宋体"/>
        <family val="3"/>
        <charset val="134"/>
      </rPr>
      <t>低压配电柜</t>
    </r>
    <r>
      <rPr>
        <sz val="10"/>
        <rFont val="Times New Roman"/>
        <family val="1"/>
      </rPr>
      <t>(</t>
    </r>
    <r>
      <rPr>
        <sz val="10"/>
        <rFont val="宋体"/>
        <family val="3"/>
        <charset val="134"/>
      </rPr>
      <t>干粉螺旋机</t>
    </r>
    <r>
      <rPr>
        <sz val="10"/>
        <rFont val="Times New Roman"/>
        <family val="1"/>
      </rPr>
      <t>)</t>
    </r>
    <phoneticPr fontId="6" type="noConversion"/>
  </si>
  <si>
    <r>
      <rPr>
        <sz val="10"/>
        <rFont val="宋体"/>
        <family val="3"/>
        <charset val="134"/>
      </rPr>
      <t>喷码稀释液</t>
    </r>
    <r>
      <rPr>
        <sz val="10"/>
        <rFont val="Times New Roman"/>
        <family val="1"/>
      </rPr>
      <t/>
    </r>
    <phoneticPr fontId="6" type="noConversion"/>
  </si>
  <si>
    <r>
      <t>8188J-4</t>
    </r>
    <r>
      <rPr>
        <sz val="10"/>
        <rFont val="宋体"/>
        <family val="3"/>
        <charset val="134"/>
      </rPr>
      <t>依玛仕</t>
    </r>
    <r>
      <rPr>
        <sz val="10"/>
        <rFont val="Times New Roman"/>
        <family val="1"/>
      </rPr>
      <t>0.8L</t>
    </r>
    <phoneticPr fontId="6" type="noConversion"/>
  </si>
  <si>
    <t>依玛仕</t>
  </si>
  <si>
    <t>平垫圈</t>
    <phoneticPr fontId="6" type="noConversion"/>
  </si>
  <si>
    <t>气缸</t>
    <phoneticPr fontId="6" type="noConversion"/>
  </si>
  <si>
    <t>SDAD50×20-S</t>
  </si>
  <si>
    <t>气缸密封件</t>
    <phoneticPr fontId="6" type="noConversion"/>
  </si>
  <si>
    <t>切割片</t>
    <phoneticPr fontId="6" type="noConversion"/>
  </si>
  <si>
    <t>100×1×16</t>
  </si>
  <si>
    <t>电子汽车衡</t>
    <phoneticPr fontId="6" type="noConversion"/>
  </si>
  <si>
    <t>日光灯架</t>
    <phoneticPr fontId="6" type="noConversion"/>
  </si>
  <si>
    <t>220V 40W</t>
  </si>
  <si>
    <t>长城</t>
  </si>
  <si>
    <t>润滑脂</t>
    <phoneticPr fontId="6" type="noConversion"/>
  </si>
  <si>
    <t>高温型7014/1/1</t>
    <phoneticPr fontId="6" type="noConversion"/>
  </si>
  <si>
    <r>
      <rPr>
        <sz val="10"/>
        <rFont val="宋体"/>
        <family val="3"/>
        <charset val="134"/>
      </rPr>
      <t>设备维修维护记录表</t>
    </r>
    <r>
      <rPr>
        <sz val="10"/>
        <rFont val="Times New Roman"/>
        <family val="1"/>
      </rPr>
      <t/>
    </r>
    <phoneticPr fontId="6" type="noConversion"/>
  </si>
  <si>
    <r>
      <t>A4,100</t>
    </r>
    <r>
      <rPr>
        <sz val="10"/>
        <rFont val="宋体"/>
        <family val="3"/>
        <charset val="134"/>
      </rPr>
      <t>张</t>
    </r>
    <r>
      <rPr>
        <sz val="10"/>
        <rFont val="Times New Roman"/>
        <family val="1"/>
      </rPr>
      <t>/</t>
    </r>
    <r>
      <rPr>
        <sz val="10"/>
        <rFont val="宋体"/>
        <family val="3"/>
        <charset val="134"/>
      </rPr>
      <t>本</t>
    </r>
  </si>
  <si>
    <t>深沟球轴承</t>
    <phoneticPr fontId="6" type="noConversion"/>
  </si>
  <si>
    <t>SKF 61912-2Z</t>
  </si>
  <si>
    <r>
      <rPr>
        <sz val="10"/>
        <rFont val="宋体"/>
        <family val="3"/>
        <charset val="134"/>
      </rPr>
      <t>水处理设备点检记录</t>
    </r>
    <r>
      <rPr>
        <sz val="10"/>
        <rFont val="Times New Roman"/>
        <family val="1"/>
      </rPr>
      <t/>
    </r>
    <phoneticPr fontId="6" type="noConversion"/>
  </si>
  <si>
    <r>
      <rPr>
        <sz val="10"/>
        <rFont val="宋体"/>
        <family val="3"/>
        <charset val="134"/>
      </rPr>
      <t>水井操作记录</t>
    </r>
    <r>
      <rPr>
        <sz val="10"/>
        <rFont val="Times New Roman"/>
        <family val="1"/>
      </rPr>
      <t/>
    </r>
    <phoneticPr fontId="6" type="noConversion"/>
  </si>
  <si>
    <r>
      <t>100</t>
    </r>
    <r>
      <rPr>
        <sz val="10"/>
        <rFont val="宋体"/>
        <family val="3"/>
        <charset val="134"/>
      </rPr>
      <t>张</t>
    </r>
    <r>
      <rPr>
        <sz val="10"/>
        <rFont val="Times New Roman"/>
        <family val="1"/>
      </rPr>
      <t>/</t>
    </r>
    <r>
      <rPr>
        <sz val="10"/>
        <rFont val="宋体"/>
        <family val="3"/>
        <charset val="134"/>
      </rPr>
      <t>本，</t>
    </r>
    <r>
      <rPr>
        <sz val="10"/>
        <rFont val="Times New Roman"/>
        <family val="1"/>
      </rPr>
      <t>16K</t>
    </r>
  </si>
  <si>
    <t>碳钢焊条</t>
    <phoneticPr fontId="6" type="noConversion"/>
  </si>
  <si>
    <t>φ3.2</t>
  </si>
  <si>
    <r>
      <rPr>
        <sz val="10"/>
        <rFont val="宋体"/>
        <family val="3"/>
        <charset val="134"/>
      </rPr>
      <t>糖化设备点检表</t>
    </r>
    <r>
      <rPr>
        <sz val="10"/>
        <rFont val="Times New Roman"/>
        <family val="1"/>
      </rPr>
      <t/>
    </r>
    <phoneticPr fontId="6" type="noConversion"/>
  </si>
  <si>
    <r>
      <t>1*100</t>
    </r>
    <r>
      <rPr>
        <sz val="10"/>
        <rFont val="宋体"/>
        <family val="3"/>
        <charset val="134"/>
      </rPr>
      <t>页</t>
    </r>
  </si>
  <si>
    <r>
      <rPr>
        <sz val="10"/>
        <rFont val="宋体"/>
        <family val="3"/>
        <charset val="134"/>
      </rPr>
      <t>铁光面泥抹</t>
    </r>
    <r>
      <rPr>
        <sz val="10"/>
        <rFont val="Times New Roman"/>
        <family val="1"/>
      </rPr>
      <t xml:space="preserve"> </t>
    </r>
    <phoneticPr fontId="6" type="noConversion"/>
  </si>
  <si>
    <t>105X265</t>
  </si>
  <si>
    <t>50mm</t>
  </si>
  <si>
    <t>DN50</t>
  </si>
  <si>
    <r>
      <rPr>
        <sz val="10"/>
        <rFont val="宋体"/>
        <family val="3"/>
        <charset val="134"/>
      </rPr>
      <t>污水处理设备点检表</t>
    </r>
    <r>
      <rPr>
        <sz val="10"/>
        <rFont val="Times New Roman"/>
        <family val="1"/>
      </rPr>
      <t/>
    </r>
    <phoneticPr fontId="6" type="noConversion"/>
  </si>
  <si>
    <t>无缝钢管</t>
    <phoneticPr fontId="6" type="noConversion"/>
  </si>
  <si>
    <t>φ76×5</t>
  </si>
  <si>
    <r>
      <rPr>
        <sz val="10"/>
        <rFont val="宋体"/>
        <family val="3"/>
        <charset val="134"/>
      </rPr>
      <t>物流标示卡</t>
    </r>
    <r>
      <rPr>
        <sz val="10"/>
        <rFont val="Times New Roman"/>
        <family val="1"/>
      </rPr>
      <t/>
    </r>
    <phoneticPr fontId="6" type="noConversion"/>
  </si>
  <si>
    <r>
      <t>30</t>
    </r>
    <r>
      <rPr>
        <sz val="10"/>
        <rFont val="宋体"/>
        <family val="3"/>
        <charset val="134"/>
      </rPr>
      <t>个</t>
    </r>
    <r>
      <rPr>
        <sz val="10"/>
        <rFont val="Times New Roman"/>
        <family val="1"/>
      </rPr>
      <t>/</t>
    </r>
    <r>
      <rPr>
        <sz val="10"/>
        <rFont val="宋体"/>
        <family val="3"/>
        <charset val="134"/>
      </rPr>
      <t>张</t>
    </r>
  </si>
  <si>
    <t>圆柱滚子轴承</t>
    <phoneticPr fontId="6" type="noConversion"/>
  </si>
  <si>
    <t>NU309</t>
  </si>
  <si>
    <r>
      <rPr>
        <sz val="10"/>
        <rFont val="宋体"/>
        <family val="3"/>
        <charset val="134"/>
      </rPr>
      <t>直柄碰管</t>
    </r>
    <r>
      <rPr>
        <sz val="10"/>
        <rFont val="Times New Roman"/>
        <family val="1"/>
      </rPr>
      <t xml:space="preserve"> </t>
    </r>
    <r>
      <rPr>
        <sz val="10"/>
        <rFont val="宋体"/>
        <family val="3"/>
        <charset val="134"/>
      </rPr>
      <t>氩弧焊机用</t>
    </r>
    <r>
      <rPr>
        <sz val="10"/>
        <rFont val="Times New Roman"/>
        <family val="1"/>
      </rPr>
      <t>5#</t>
    </r>
    <phoneticPr fontId="6" type="noConversion"/>
  </si>
  <si>
    <t>TLG-300</t>
    <phoneticPr fontId="6" type="noConversion"/>
  </si>
  <si>
    <t>佳士</t>
    <phoneticPr fontId="6" type="noConversion"/>
  </si>
  <si>
    <r>
      <rPr>
        <sz val="10"/>
        <rFont val="宋体"/>
        <family val="3"/>
        <charset val="134"/>
      </rPr>
      <t>制冷设备系统点检表</t>
    </r>
    <r>
      <rPr>
        <sz val="10"/>
        <rFont val="Times New Roman"/>
        <family val="1"/>
      </rPr>
      <t/>
    </r>
    <phoneticPr fontId="6" type="noConversion"/>
  </si>
  <si>
    <t>制冷站设备运行（氟机）记录表</t>
    <phoneticPr fontId="6" type="noConversion"/>
  </si>
  <si>
    <t>A4,1*31,50g</t>
  </si>
  <si>
    <r>
      <t>CO2</t>
    </r>
    <r>
      <rPr>
        <sz val="10"/>
        <rFont val="宋体"/>
        <family val="3"/>
        <charset val="134"/>
      </rPr>
      <t>回收装置运行记录</t>
    </r>
    <r>
      <rPr>
        <sz val="10"/>
        <rFont val="Times New Roman"/>
        <family val="1"/>
      </rPr>
      <t/>
    </r>
    <phoneticPr fontId="6" type="noConversion"/>
  </si>
  <si>
    <r>
      <t>100</t>
    </r>
    <r>
      <rPr>
        <sz val="10"/>
        <rFont val="宋体"/>
        <family val="3"/>
        <charset val="134"/>
      </rPr>
      <t>页</t>
    </r>
    <r>
      <rPr>
        <sz val="10"/>
        <rFont val="Times New Roman"/>
        <family val="1"/>
      </rPr>
      <t>/</t>
    </r>
    <r>
      <rPr>
        <sz val="10"/>
        <rFont val="宋体"/>
        <family val="3"/>
        <charset val="134"/>
      </rPr>
      <t>本</t>
    </r>
  </si>
  <si>
    <t>只</t>
    <phoneticPr fontId="6" type="noConversion"/>
  </si>
  <si>
    <r>
      <t>V</t>
    </r>
    <r>
      <rPr>
        <sz val="10"/>
        <rFont val="宋体"/>
        <family val="3"/>
        <charset val="134"/>
      </rPr>
      <t>形带</t>
    </r>
    <phoneticPr fontId="6" type="noConversion"/>
  </si>
  <si>
    <t>A1200</t>
  </si>
  <si>
    <t>按钮开关</t>
    <phoneticPr fontId="6" type="noConversion"/>
  </si>
  <si>
    <t>LA18-221</t>
  </si>
  <si>
    <r>
      <rPr>
        <sz val="10"/>
        <rFont val="宋体"/>
        <family val="3"/>
        <charset val="134"/>
      </rPr>
      <t>奥克冰雪果爽菠萝味饮料塑包</t>
    </r>
    <r>
      <rPr>
        <sz val="10"/>
        <rFont val="Times New Roman"/>
        <family val="1"/>
      </rPr>
      <t>500ml</t>
    </r>
    <r>
      <rPr>
        <sz val="10"/>
        <rFont val="宋体"/>
        <family val="3"/>
        <charset val="134"/>
      </rPr>
      <t>白瓶背标湿强纸</t>
    </r>
    <r>
      <rPr>
        <sz val="10"/>
        <rFont val="Times New Roman"/>
        <family val="1"/>
      </rPr>
      <t/>
    </r>
    <phoneticPr fontId="6" type="noConversion"/>
  </si>
  <si>
    <r>
      <t>50*65  2015</t>
    </r>
    <r>
      <rPr>
        <sz val="10"/>
        <rFont val="宋体"/>
        <family val="3"/>
        <charset val="134"/>
      </rPr>
      <t>版</t>
    </r>
    <phoneticPr fontId="6" type="noConversion"/>
  </si>
  <si>
    <t>扁型漆刷</t>
    <phoneticPr fontId="6" type="noConversion"/>
  </si>
  <si>
    <r>
      <t>5</t>
    </r>
    <r>
      <rPr>
        <sz val="10"/>
        <rFont val="宋体"/>
        <family val="3"/>
        <charset val="134"/>
      </rPr>
      <t>″（</t>
    </r>
    <r>
      <rPr>
        <sz val="10"/>
        <rFont val="Times New Roman"/>
        <family val="1"/>
      </rPr>
      <t>127mm)</t>
    </r>
  </si>
  <si>
    <t>螺杆空压机</t>
    <phoneticPr fontId="6" type="noConversion"/>
  </si>
  <si>
    <t>δ2</t>
  </si>
  <si>
    <t>φ89×4.5</t>
  </si>
  <si>
    <t>不锈钢焊条</t>
    <phoneticPr fontId="6" type="noConversion"/>
  </si>
  <si>
    <t>不锈钢螺栓</t>
    <phoneticPr fontId="6" type="noConversion"/>
  </si>
  <si>
    <t>M20×60</t>
  </si>
  <si>
    <t>M4×30</t>
  </si>
  <si>
    <t>不锈钢内六角圆柱头螺钉</t>
    <phoneticPr fontId="6" type="noConversion"/>
  </si>
  <si>
    <t>M5×25</t>
  </si>
  <si>
    <t>不锈钢圆钢</t>
    <phoneticPr fontId="6" type="noConversion"/>
  </si>
  <si>
    <t>φ8</t>
  </si>
  <si>
    <t>电子触发器</t>
    <phoneticPr fontId="6" type="noConversion"/>
  </si>
  <si>
    <t>CD-2a</t>
  </si>
  <si>
    <t>管箍</t>
    <phoneticPr fontId="6" type="noConversion"/>
  </si>
  <si>
    <t>DN70-90</t>
  </si>
  <si>
    <t>个</t>
    <phoneticPr fontId="6" type="noConversion"/>
  </si>
  <si>
    <t>球阀</t>
    <phoneticPr fontId="6" type="noConversion"/>
  </si>
  <si>
    <t>Q11W-16P DN8</t>
  </si>
  <si>
    <r>
      <rPr>
        <sz val="10"/>
        <rFont val="宋体"/>
        <family val="3"/>
        <charset val="134"/>
      </rPr>
      <t>圣泉普啤</t>
    </r>
    <r>
      <rPr>
        <sz val="10"/>
        <rFont val="Times New Roman"/>
        <family val="1"/>
      </rPr>
      <t>9</t>
    </r>
    <r>
      <rPr>
        <sz val="10"/>
        <rFont val="宋体"/>
        <family val="3"/>
        <charset val="134"/>
      </rPr>
      <t>度新生活</t>
    </r>
    <r>
      <rPr>
        <sz val="10"/>
        <rFont val="Times New Roman"/>
        <family val="1"/>
      </rPr>
      <t>560ml</t>
    </r>
    <r>
      <rPr>
        <sz val="10"/>
        <rFont val="宋体"/>
        <family val="3"/>
        <charset val="134"/>
      </rPr>
      <t>绿瓶背标湿强纸</t>
    </r>
    <r>
      <rPr>
        <sz val="10"/>
        <rFont val="Times New Roman"/>
        <family val="1"/>
      </rPr>
      <t/>
    </r>
    <phoneticPr fontId="6" type="noConversion"/>
  </si>
  <si>
    <r>
      <t>50*65</t>
    </r>
    <r>
      <rPr>
        <sz val="10"/>
        <rFont val="宋体"/>
        <family val="3"/>
        <charset val="134"/>
      </rPr>
      <t>淀粉，</t>
    </r>
    <r>
      <rPr>
        <sz val="10"/>
        <rFont val="Times New Roman"/>
        <family val="1"/>
      </rPr>
      <t>2016</t>
    </r>
    <r>
      <rPr>
        <sz val="10"/>
        <rFont val="宋体"/>
        <family val="3"/>
        <charset val="134"/>
      </rPr>
      <t>版</t>
    </r>
  </si>
  <si>
    <t>食品橡胶板</t>
    <phoneticPr fontId="6" type="noConversion"/>
  </si>
  <si>
    <t>面</t>
    <phoneticPr fontId="6" type="noConversion"/>
  </si>
  <si>
    <r>
      <rPr>
        <sz val="10"/>
        <rFont val="宋体"/>
        <family val="3"/>
        <charset val="134"/>
      </rPr>
      <t>塑料软管</t>
    </r>
    <r>
      <rPr>
        <sz val="10"/>
        <rFont val="Times New Roman"/>
        <family val="1"/>
      </rPr>
      <t/>
    </r>
    <phoneticPr fontId="6" type="noConversion"/>
  </si>
  <si>
    <r>
      <t>1</t>
    </r>
    <r>
      <rPr>
        <sz val="10"/>
        <rFont val="宋体"/>
        <family val="3"/>
        <charset val="134"/>
      </rPr>
      <t>寸</t>
    </r>
  </si>
  <si>
    <t>面</t>
    <phoneticPr fontId="6" type="noConversion"/>
  </si>
  <si>
    <r>
      <rPr>
        <sz val="10"/>
        <rFont val="宋体"/>
        <family val="3"/>
        <charset val="134"/>
      </rPr>
      <t>雪花普啤</t>
    </r>
    <r>
      <rPr>
        <sz val="10"/>
        <rFont val="Times New Roman"/>
        <family val="1"/>
      </rPr>
      <t>9</t>
    </r>
    <r>
      <rPr>
        <sz val="10"/>
        <rFont val="宋体"/>
        <family val="3"/>
        <charset val="134"/>
      </rPr>
      <t>度麦香塑包</t>
    </r>
    <r>
      <rPr>
        <sz val="10"/>
        <rFont val="Times New Roman"/>
        <family val="1"/>
      </rPr>
      <t>560ml</t>
    </r>
    <r>
      <rPr>
        <sz val="10"/>
        <rFont val="宋体"/>
        <family val="3"/>
        <charset val="134"/>
      </rPr>
      <t>绿瓶背标镀铝纸</t>
    </r>
    <phoneticPr fontId="6" type="noConversion"/>
  </si>
  <si>
    <t>50*65</t>
  </si>
  <si>
    <r>
      <rPr>
        <sz val="10"/>
        <rFont val="宋体"/>
        <family val="3"/>
        <charset val="134"/>
      </rPr>
      <t>雪花普啤</t>
    </r>
    <r>
      <rPr>
        <sz val="10"/>
        <rFont val="Times New Roman"/>
        <family val="1"/>
      </rPr>
      <t>9</t>
    </r>
    <r>
      <rPr>
        <sz val="10"/>
        <rFont val="宋体"/>
        <family val="3"/>
        <charset val="134"/>
      </rPr>
      <t>度麦香塑包</t>
    </r>
    <r>
      <rPr>
        <sz val="10"/>
        <rFont val="Times New Roman"/>
        <family val="1"/>
      </rPr>
      <t>560ml</t>
    </r>
    <r>
      <rPr>
        <sz val="10"/>
        <rFont val="宋体"/>
        <family val="3"/>
        <charset val="134"/>
      </rPr>
      <t>绿瓶主标镀铝纸</t>
    </r>
    <phoneticPr fontId="6" type="noConversion"/>
  </si>
  <si>
    <t>80*105</t>
  </si>
  <si>
    <r>
      <rPr>
        <sz val="10"/>
        <rFont val="宋体"/>
        <family val="3"/>
        <charset val="134"/>
      </rPr>
      <t>雪花普啤</t>
    </r>
    <r>
      <rPr>
        <sz val="10"/>
        <rFont val="Times New Roman"/>
        <family val="1"/>
      </rPr>
      <t>9</t>
    </r>
    <r>
      <rPr>
        <sz val="10"/>
        <rFont val="宋体"/>
        <family val="3"/>
        <charset val="134"/>
      </rPr>
      <t>度金盛年华</t>
    </r>
    <r>
      <rPr>
        <sz val="10"/>
        <rFont val="Times New Roman"/>
        <family val="1"/>
      </rPr>
      <t>560ml</t>
    </r>
    <r>
      <rPr>
        <sz val="10"/>
        <rFont val="宋体"/>
        <family val="3"/>
        <charset val="134"/>
      </rPr>
      <t>绿瓶背标湿强纸</t>
    </r>
    <r>
      <rPr>
        <sz val="10"/>
        <rFont val="Times New Roman"/>
        <family val="1"/>
      </rPr>
      <t/>
    </r>
    <phoneticPr fontId="6" type="noConversion"/>
  </si>
  <si>
    <r>
      <t>50*65 2015</t>
    </r>
    <r>
      <rPr>
        <sz val="10"/>
        <rFont val="宋体"/>
        <family val="3"/>
        <charset val="134"/>
      </rPr>
      <t>版</t>
    </r>
  </si>
  <si>
    <r>
      <rPr>
        <sz val="10"/>
        <rFont val="宋体"/>
        <family val="3"/>
        <charset val="134"/>
      </rPr>
      <t>雪花普啤</t>
    </r>
    <r>
      <rPr>
        <sz val="10"/>
        <rFont val="Times New Roman"/>
        <family val="1"/>
      </rPr>
      <t>9</t>
    </r>
    <r>
      <rPr>
        <sz val="10"/>
        <rFont val="宋体"/>
        <family val="3"/>
        <charset val="134"/>
      </rPr>
      <t>度冰天雪地塑包</t>
    </r>
    <r>
      <rPr>
        <sz val="10"/>
        <rFont val="Times New Roman"/>
        <family val="1"/>
      </rPr>
      <t>500ml</t>
    </r>
    <r>
      <rPr>
        <sz val="10"/>
        <rFont val="宋体"/>
        <family val="3"/>
        <charset val="134"/>
      </rPr>
      <t>绿瓶背标镀铝纸</t>
    </r>
    <r>
      <rPr>
        <sz val="10"/>
        <rFont val="Times New Roman"/>
        <family val="1"/>
      </rPr>
      <t/>
    </r>
    <phoneticPr fontId="6" type="noConversion"/>
  </si>
  <si>
    <r>
      <rPr>
        <sz val="10"/>
        <rFont val="宋体"/>
        <family val="3"/>
        <charset val="134"/>
      </rPr>
      <t>雪花普啤</t>
    </r>
    <r>
      <rPr>
        <sz val="10"/>
        <rFont val="Times New Roman"/>
        <family val="1"/>
      </rPr>
      <t>9</t>
    </r>
    <r>
      <rPr>
        <sz val="10"/>
        <rFont val="宋体"/>
        <family val="3"/>
        <charset val="134"/>
      </rPr>
      <t>度黄金时代</t>
    </r>
    <r>
      <rPr>
        <sz val="10"/>
        <rFont val="Times New Roman"/>
        <family val="1"/>
      </rPr>
      <t>560ml</t>
    </r>
    <r>
      <rPr>
        <sz val="10"/>
        <rFont val="宋体"/>
        <family val="3"/>
        <charset val="134"/>
      </rPr>
      <t>绿瓶背标镀铝纸</t>
    </r>
    <r>
      <rPr>
        <sz val="10"/>
        <rFont val="Times New Roman"/>
        <family val="1"/>
      </rPr>
      <t/>
    </r>
    <phoneticPr fontId="6" type="noConversion"/>
  </si>
  <si>
    <r>
      <t>50*65</t>
    </r>
    <r>
      <rPr>
        <sz val="10"/>
        <rFont val="宋体"/>
        <family val="3"/>
        <charset val="134"/>
      </rPr>
      <t>淀粉，</t>
    </r>
    <r>
      <rPr>
        <sz val="10"/>
        <rFont val="Times New Roman"/>
        <family val="1"/>
      </rPr>
      <t>2016</t>
    </r>
    <r>
      <rPr>
        <sz val="10"/>
        <rFont val="宋体"/>
        <family val="3"/>
        <charset val="134"/>
      </rPr>
      <t>版高适用性</t>
    </r>
  </si>
  <si>
    <r>
      <rPr>
        <sz val="10"/>
        <rFont val="宋体"/>
        <family val="3"/>
        <charset val="134"/>
      </rPr>
      <t>雪花冰菓菠萝碳酸饮料</t>
    </r>
    <r>
      <rPr>
        <sz val="10"/>
        <rFont val="Times New Roman"/>
        <family val="1"/>
      </rPr>
      <t>330ml</t>
    </r>
    <r>
      <rPr>
        <sz val="10"/>
        <rFont val="宋体"/>
        <family val="3"/>
        <charset val="134"/>
      </rPr>
      <t>白瓶背标镀铝纸</t>
    </r>
    <r>
      <rPr>
        <sz val="10"/>
        <rFont val="Times New Roman"/>
        <family val="1"/>
      </rPr>
      <t/>
    </r>
    <phoneticPr fontId="6" type="noConversion"/>
  </si>
  <si>
    <r>
      <t>45*652015</t>
    </r>
    <r>
      <rPr>
        <sz val="10"/>
        <rFont val="宋体"/>
        <family val="3"/>
        <charset val="134"/>
      </rPr>
      <t>潮女版</t>
    </r>
  </si>
  <si>
    <r>
      <rPr>
        <sz val="10"/>
        <rFont val="宋体"/>
        <family val="3"/>
        <charset val="134"/>
      </rPr>
      <t>雪花冰菓菠萝碳酸饮料</t>
    </r>
    <r>
      <rPr>
        <sz val="10"/>
        <rFont val="Times New Roman"/>
        <family val="1"/>
      </rPr>
      <t>330ml</t>
    </r>
    <r>
      <rPr>
        <sz val="10"/>
        <rFont val="宋体"/>
        <family val="3"/>
        <charset val="134"/>
      </rPr>
      <t>白瓶主标镀铝纸</t>
    </r>
    <r>
      <rPr>
        <sz val="10"/>
        <rFont val="Times New Roman"/>
        <family val="1"/>
      </rPr>
      <t/>
    </r>
    <phoneticPr fontId="6" type="noConversion"/>
  </si>
  <si>
    <r>
      <t>60*902015</t>
    </r>
    <r>
      <rPr>
        <sz val="10"/>
        <rFont val="宋体"/>
        <family val="3"/>
        <charset val="134"/>
      </rPr>
      <t>潮女版</t>
    </r>
  </si>
  <si>
    <r>
      <rPr>
        <sz val="10"/>
        <rFont val="宋体"/>
        <family val="3"/>
        <charset val="134"/>
      </rPr>
      <t>雪花普啤</t>
    </r>
    <r>
      <rPr>
        <sz val="10"/>
        <rFont val="Times New Roman"/>
        <family val="1"/>
      </rPr>
      <t>9</t>
    </r>
    <r>
      <rPr>
        <sz val="10"/>
        <rFont val="宋体"/>
        <family val="3"/>
        <charset val="134"/>
      </rPr>
      <t>度冰天雪地</t>
    </r>
    <r>
      <rPr>
        <sz val="10"/>
        <rFont val="Times New Roman"/>
        <family val="1"/>
      </rPr>
      <t>560ml</t>
    </r>
    <r>
      <rPr>
        <sz val="10"/>
        <rFont val="宋体"/>
        <family val="3"/>
        <charset val="134"/>
      </rPr>
      <t>绿瓶背标镀铝纸</t>
    </r>
    <r>
      <rPr>
        <sz val="10"/>
        <rFont val="Times New Roman"/>
        <family val="1"/>
      </rPr>
      <t/>
    </r>
    <phoneticPr fontId="6" type="noConversion"/>
  </si>
  <si>
    <r>
      <rPr>
        <sz val="10"/>
        <rFont val="宋体"/>
        <family val="3"/>
        <charset val="134"/>
      </rPr>
      <t>雪花普啤</t>
    </r>
    <r>
      <rPr>
        <sz val="10"/>
        <rFont val="Times New Roman"/>
        <family val="1"/>
      </rPr>
      <t>9</t>
    </r>
    <r>
      <rPr>
        <sz val="10"/>
        <rFont val="宋体"/>
        <family val="3"/>
        <charset val="134"/>
      </rPr>
      <t>度锦绣中原塑包</t>
    </r>
    <r>
      <rPr>
        <sz val="10"/>
        <rFont val="Times New Roman"/>
        <family val="1"/>
      </rPr>
      <t>560ml</t>
    </r>
    <r>
      <rPr>
        <sz val="10"/>
        <rFont val="宋体"/>
        <family val="3"/>
        <charset val="134"/>
      </rPr>
      <t>绿瓶背标湿强纸</t>
    </r>
    <r>
      <rPr>
        <sz val="10"/>
        <rFont val="Times New Roman"/>
        <family val="1"/>
      </rPr>
      <t/>
    </r>
    <phoneticPr fontId="6" type="noConversion"/>
  </si>
  <si>
    <r>
      <rPr>
        <sz val="10"/>
        <rFont val="宋体"/>
        <family val="3"/>
        <charset val="134"/>
      </rPr>
      <t>雪花普啤</t>
    </r>
    <r>
      <rPr>
        <sz val="10"/>
        <rFont val="Times New Roman"/>
        <family val="1"/>
      </rPr>
      <t>9</t>
    </r>
    <r>
      <rPr>
        <sz val="10"/>
        <rFont val="宋体"/>
        <family val="3"/>
        <charset val="134"/>
      </rPr>
      <t>度蓝牌心爽塑包</t>
    </r>
    <r>
      <rPr>
        <sz val="10"/>
        <rFont val="Times New Roman"/>
        <family val="1"/>
      </rPr>
      <t>560ml</t>
    </r>
    <r>
      <rPr>
        <sz val="10"/>
        <rFont val="宋体"/>
        <family val="3"/>
        <charset val="134"/>
      </rPr>
      <t>绿瓶背标湿强纸</t>
    </r>
    <r>
      <rPr>
        <sz val="10"/>
        <rFont val="Times New Roman"/>
        <family val="1"/>
      </rPr>
      <t/>
    </r>
    <phoneticPr fontId="6" type="noConversion"/>
  </si>
  <si>
    <r>
      <rPr>
        <sz val="10"/>
        <rFont val="宋体"/>
        <family val="3"/>
        <charset val="134"/>
      </rPr>
      <t>雪花普啤</t>
    </r>
    <r>
      <rPr>
        <sz val="10"/>
        <rFont val="Times New Roman"/>
        <family val="1"/>
      </rPr>
      <t>9</t>
    </r>
    <r>
      <rPr>
        <sz val="10"/>
        <rFont val="宋体"/>
        <family val="3"/>
        <charset val="134"/>
      </rPr>
      <t>度清醇</t>
    </r>
    <r>
      <rPr>
        <sz val="10"/>
        <rFont val="Times New Roman"/>
        <family val="1"/>
      </rPr>
      <t>560ml</t>
    </r>
    <r>
      <rPr>
        <sz val="10"/>
        <rFont val="宋体"/>
        <family val="3"/>
        <charset val="134"/>
      </rPr>
      <t>绿瓶背标镀铝纸</t>
    </r>
    <r>
      <rPr>
        <sz val="10"/>
        <rFont val="Times New Roman"/>
        <family val="1"/>
      </rPr>
      <t/>
    </r>
    <phoneticPr fontId="6" type="noConversion"/>
  </si>
  <si>
    <r>
      <rPr>
        <sz val="10"/>
        <rFont val="宋体"/>
        <family val="3"/>
        <charset val="134"/>
      </rPr>
      <t>雪花普啤</t>
    </r>
    <r>
      <rPr>
        <sz val="10"/>
        <rFont val="Times New Roman"/>
        <family val="1"/>
      </rPr>
      <t>9</t>
    </r>
    <r>
      <rPr>
        <sz val="10"/>
        <rFont val="宋体"/>
        <family val="3"/>
        <charset val="134"/>
      </rPr>
      <t>度清爽</t>
    </r>
    <r>
      <rPr>
        <sz val="10"/>
        <rFont val="Times New Roman"/>
        <family val="1"/>
      </rPr>
      <t>560ml</t>
    </r>
    <r>
      <rPr>
        <sz val="10"/>
        <rFont val="宋体"/>
        <family val="3"/>
        <charset val="134"/>
      </rPr>
      <t>绿瓶背标镀铝纸</t>
    </r>
    <r>
      <rPr>
        <sz val="10"/>
        <rFont val="Times New Roman"/>
        <family val="1"/>
      </rPr>
      <t/>
    </r>
    <phoneticPr fontId="6" type="noConversion"/>
  </si>
  <si>
    <t>台</t>
    <phoneticPr fontId="6" type="noConversion"/>
  </si>
  <si>
    <t>台</t>
  </si>
  <si>
    <t>只</t>
  </si>
  <si>
    <t>套</t>
  </si>
  <si>
    <t>件</t>
  </si>
  <si>
    <t>个</t>
  </si>
  <si>
    <t>口</t>
  </si>
  <si>
    <t>张</t>
  </si>
  <si>
    <t>部</t>
  </si>
  <si>
    <t>组</t>
  </si>
  <si>
    <t>辆</t>
  </si>
  <si>
    <t>本</t>
    <phoneticPr fontId="6" type="noConversion"/>
  </si>
  <si>
    <t>套</t>
    <phoneticPr fontId="6" type="noConversion"/>
  </si>
  <si>
    <t>卷</t>
    <phoneticPr fontId="6" type="noConversion"/>
  </si>
  <si>
    <t>把</t>
    <phoneticPr fontId="6" type="noConversion"/>
  </si>
  <si>
    <t>条</t>
    <phoneticPr fontId="6" type="noConversion"/>
  </si>
  <si>
    <t>包</t>
    <phoneticPr fontId="6" type="noConversion"/>
  </si>
  <si>
    <t>袋</t>
    <phoneticPr fontId="6" type="noConversion"/>
  </si>
  <si>
    <t>kg</t>
    <phoneticPr fontId="6" type="noConversion"/>
  </si>
  <si>
    <t>根</t>
    <phoneticPr fontId="6" type="noConversion"/>
  </si>
  <si>
    <t>国产</t>
    <phoneticPr fontId="6" type="noConversion"/>
  </si>
  <si>
    <t>套</t>
    <phoneticPr fontId="6" type="noConversion"/>
  </si>
  <si>
    <t>面</t>
    <phoneticPr fontId="6" type="noConversion"/>
  </si>
  <si>
    <t>个</t>
    <phoneticPr fontId="6" type="noConversion"/>
  </si>
  <si>
    <t>张</t>
    <phoneticPr fontId="6" type="noConversion"/>
  </si>
  <si>
    <t>个</t>
    <phoneticPr fontId="6" type="noConversion"/>
  </si>
  <si>
    <t>套</t>
    <phoneticPr fontId="6" type="noConversion"/>
  </si>
  <si>
    <t>面</t>
    <phoneticPr fontId="6" type="noConversion"/>
  </si>
  <si>
    <t>二氧化碳测定仪</t>
    <phoneticPr fontId="6" type="noConversion"/>
  </si>
  <si>
    <t>台</t>
    <phoneticPr fontId="6" type="noConversion"/>
  </si>
  <si>
    <t>张</t>
    <phoneticPr fontId="6" type="noConversion"/>
  </si>
  <si>
    <r>
      <rPr>
        <sz val="10"/>
        <rFont val="宋体"/>
        <family val="3"/>
        <charset val="134"/>
      </rPr>
      <t>雪花</t>
    </r>
    <r>
      <rPr>
        <sz val="10"/>
        <rFont val="Times New Roman"/>
        <family val="1"/>
      </rPr>
      <t>9</t>
    </r>
    <r>
      <rPr>
        <sz val="10"/>
        <rFont val="宋体"/>
        <family val="3"/>
        <charset val="134"/>
      </rPr>
      <t>度冰天雪地</t>
    </r>
    <r>
      <rPr>
        <sz val="10"/>
        <rFont val="Times New Roman"/>
        <family val="1"/>
      </rPr>
      <t>560ml</t>
    </r>
    <r>
      <rPr>
        <sz val="10"/>
        <rFont val="宋体"/>
        <family val="3"/>
        <charset val="134"/>
      </rPr>
      <t>绿瓶</t>
    </r>
    <r>
      <rPr>
        <sz val="10"/>
        <rFont val="Times New Roman"/>
        <family val="1"/>
      </rPr>
      <t>1*12</t>
    </r>
    <r>
      <rPr>
        <sz val="10"/>
        <rFont val="宋体"/>
        <family val="3"/>
        <charset val="134"/>
      </rPr>
      <t>手倒箱胶印</t>
    </r>
    <phoneticPr fontId="6" type="noConversion"/>
  </si>
  <si>
    <r>
      <t>淀粉，</t>
    </r>
    <r>
      <rPr>
        <sz val="10"/>
        <rFont val="Times New Roman"/>
        <family val="1"/>
      </rPr>
      <t>2016</t>
    </r>
    <r>
      <rPr>
        <sz val="10"/>
        <rFont val="宋体"/>
        <family val="3"/>
        <charset val="134"/>
      </rPr>
      <t>版</t>
    </r>
  </si>
  <si>
    <r>
      <rPr>
        <sz val="10"/>
        <rFont val="宋体"/>
        <family val="3"/>
        <charset val="134"/>
      </rPr>
      <t>雪花</t>
    </r>
    <r>
      <rPr>
        <sz val="10"/>
        <rFont val="Times New Roman"/>
        <family val="1"/>
      </rPr>
      <t>9</t>
    </r>
    <r>
      <rPr>
        <sz val="10"/>
        <rFont val="宋体"/>
        <family val="3"/>
        <charset val="134"/>
      </rPr>
      <t>度清醇</t>
    </r>
    <r>
      <rPr>
        <sz val="10"/>
        <rFont val="Times New Roman"/>
        <family val="1"/>
      </rPr>
      <t>560ml</t>
    </r>
    <r>
      <rPr>
        <sz val="10"/>
        <rFont val="宋体"/>
        <family val="3"/>
        <charset val="134"/>
      </rPr>
      <t>绿瓶</t>
    </r>
    <r>
      <rPr>
        <sz val="10"/>
        <rFont val="Times New Roman"/>
        <family val="1"/>
      </rPr>
      <t>1*12</t>
    </r>
    <r>
      <rPr>
        <sz val="10"/>
        <rFont val="宋体"/>
        <family val="3"/>
        <charset val="134"/>
      </rPr>
      <t>手倒箱胶印</t>
    </r>
    <phoneticPr fontId="6" type="noConversion"/>
  </si>
  <si>
    <r>
      <t>淀粉，</t>
    </r>
    <r>
      <rPr>
        <sz val="10"/>
        <rFont val="Times New Roman"/>
        <family val="1"/>
      </rPr>
      <t>2016</t>
    </r>
    <r>
      <rPr>
        <sz val="10"/>
        <rFont val="宋体"/>
        <family val="3"/>
        <charset val="134"/>
      </rPr>
      <t>版</t>
    </r>
    <phoneticPr fontId="6" type="noConversion"/>
  </si>
  <si>
    <r>
      <rPr>
        <sz val="10"/>
        <rFont val="宋体"/>
        <family val="3"/>
        <charset val="134"/>
      </rPr>
      <t>雪花</t>
    </r>
    <r>
      <rPr>
        <sz val="10"/>
        <rFont val="Times New Roman"/>
        <family val="1"/>
      </rPr>
      <t>9</t>
    </r>
    <r>
      <rPr>
        <sz val="10"/>
        <rFont val="宋体"/>
        <family val="3"/>
        <charset val="134"/>
      </rPr>
      <t>度清爽</t>
    </r>
    <r>
      <rPr>
        <sz val="10"/>
        <rFont val="Times New Roman"/>
        <family val="1"/>
      </rPr>
      <t>560ml</t>
    </r>
    <r>
      <rPr>
        <sz val="10"/>
        <rFont val="宋体"/>
        <family val="3"/>
        <charset val="134"/>
      </rPr>
      <t>绿瓶</t>
    </r>
    <r>
      <rPr>
        <sz val="10"/>
        <rFont val="Times New Roman"/>
        <family val="1"/>
      </rPr>
      <t>1*12</t>
    </r>
    <r>
      <rPr>
        <sz val="10"/>
        <rFont val="宋体"/>
        <family val="3"/>
        <charset val="134"/>
      </rPr>
      <t>手倒箱胶印</t>
    </r>
    <phoneticPr fontId="6" type="noConversion"/>
  </si>
  <si>
    <r>
      <rPr>
        <sz val="10"/>
        <rFont val="宋体"/>
        <family val="3"/>
        <charset val="134"/>
      </rPr>
      <t>雪花冰菓菠萝碳酸饮料</t>
    </r>
    <r>
      <rPr>
        <sz val="10"/>
        <rFont val="Times New Roman"/>
        <family val="1"/>
      </rPr>
      <t>330ml</t>
    </r>
    <r>
      <rPr>
        <sz val="10"/>
        <rFont val="宋体"/>
        <family val="3"/>
        <charset val="134"/>
      </rPr>
      <t>白瓶</t>
    </r>
    <r>
      <rPr>
        <sz val="10"/>
        <rFont val="Times New Roman"/>
        <family val="1"/>
      </rPr>
      <t>1*12</t>
    </r>
    <r>
      <rPr>
        <sz val="10"/>
        <rFont val="宋体"/>
        <family val="3"/>
        <charset val="134"/>
      </rPr>
      <t>手倒箱胶印</t>
    </r>
    <r>
      <rPr>
        <sz val="10"/>
        <rFont val="Times New Roman"/>
        <family val="1"/>
      </rPr>
      <t/>
    </r>
    <phoneticPr fontId="6" type="noConversion"/>
  </si>
  <si>
    <r>
      <t>2015</t>
    </r>
    <r>
      <rPr>
        <sz val="10"/>
        <rFont val="宋体"/>
        <family val="3"/>
        <charset val="134"/>
      </rPr>
      <t>版</t>
    </r>
  </si>
  <si>
    <t>KFR-120</t>
    <phoneticPr fontId="6" type="noConversion"/>
  </si>
  <si>
    <r>
      <t>2011-1-24</t>
    </r>
    <r>
      <rPr>
        <sz val="10"/>
        <rFont val="宋体"/>
        <family val="3"/>
        <charset val="134"/>
      </rPr>
      <t>收购</t>
    </r>
    <phoneticPr fontId="6" type="noConversion"/>
  </si>
  <si>
    <t>格力</t>
    <phoneticPr fontId="6" type="noConversion"/>
  </si>
  <si>
    <r>
      <t>2003-03</t>
    </r>
    <r>
      <rPr>
        <sz val="10"/>
        <rFont val="宋体"/>
        <family val="3"/>
        <charset val="134"/>
      </rPr>
      <t>生产</t>
    </r>
    <phoneticPr fontId="6" type="noConversion"/>
  </si>
  <si>
    <t>10m³</t>
    <phoneticPr fontId="6" type="noConversion"/>
  </si>
  <si>
    <r>
      <t>8.4m</t>
    </r>
    <r>
      <rPr>
        <sz val="10"/>
        <rFont val="宋体"/>
        <family val="3"/>
        <charset val="134"/>
      </rPr>
      <t>³</t>
    </r>
    <phoneticPr fontId="6" type="noConversion"/>
  </si>
  <si>
    <r>
      <t>2016-12</t>
    </r>
    <r>
      <rPr>
        <sz val="10"/>
        <rFont val="宋体"/>
        <family val="3"/>
        <charset val="134"/>
      </rPr>
      <t>停产</t>
    </r>
    <phoneticPr fontId="6" type="noConversion"/>
  </si>
  <si>
    <t>阿特拉斯</t>
    <phoneticPr fontId="6" type="noConversion"/>
  </si>
  <si>
    <t>重量</t>
    <phoneticPr fontId="6" type="noConversion"/>
  </si>
  <si>
    <t>t</t>
    <phoneticPr fontId="6" type="noConversion"/>
  </si>
  <si>
    <r>
      <rPr>
        <sz val="10"/>
        <rFont val="宋体"/>
        <family val="3"/>
        <charset val="134"/>
      </rPr>
      <t>不锈钢</t>
    </r>
    <r>
      <rPr>
        <sz val="10"/>
        <rFont val="Times New Roman"/>
        <family val="1"/>
      </rPr>
      <t>CIP</t>
    </r>
    <r>
      <rPr>
        <sz val="10"/>
        <rFont val="宋体"/>
        <family val="3"/>
        <charset val="134"/>
      </rPr>
      <t>烧碱罐</t>
    </r>
    <phoneticPr fontId="6" type="noConversion"/>
  </si>
  <si>
    <r>
      <rPr>
        <sz val="10"/>
        <rFont val="宋体"/>
        <family val="3"/>
        <charset val="134"/>
      </rPr>
      <t>不锈钢</t>
    </r>
    <r>
      <rPr>
        <sz val="10"/>
        <rFont val="Times New Roman"/>
        <family val="1"/>
      </rPr>
      <t>CIP</t>
    </r>
    <r>
      <rPr>
        <sz val="10"/>
        <rFont val="宋体"/>
        <family val="3"/>
        <charset val="134"/>
      </rPr>
      <t>罐（滤后酸罐）</t>
    </r>
    <phoneticPr fontId="6" type="noConversion"/>
  </si>
  <si>
    <r>
      <rPr>
        <sz val="10"/>
        <rFont val="宋体"/>
        <family val="3"/>
        <charset val="134"/>
      </rPr>
      <t>不锈钢</t>
    </r>
    <r>
      <rPr>
        <sz val="10"/>
        <rFont val="Times New Roman"/>
        <family val="1"/>
      </rPr>
      <t>CIP</t>
    </r>
    <r>
      <rPr>
        <sz val="10"/>
        <rFont val="宋体"/>
        <family val="3"/>
        <charset val="134"/>
      </rPr>
      <t>罐（滤前酸罐）</t>
    </r>
    <phoneticPr fontId="6" type="noConversion"/>
  </si>
  <si>
    <r>
      <rPr>
        <sz val="10"/>
        <rFont val="宋体"/>
        <family val="3"/>
        <charset val="134"/>
      </rPr>
      <t>不锈钢</t>
    </r>
    <r>
      <rPr>
        <sz val="10"/>
        <rFont val="Times New Roman"/>
        <family val="1"/>
      </rPr>
      <t>CIP</t>
    </r>
    <r>
      <rPr>
        <sz val="10"/>
        <rFont val="宋体"/>
        <family val="3"/>
        <charset val="134"/>
      </rPr>
      <t>罐（温碱罐）</t>
    </r>
    <phoneticPr fontId="6" type="noConversion"/>
  </si>
  <si>
    <t>报废</t>
    <phoneticPr fontId="6" type="noConversion"/>
  </si>
  <si>
    <t>广州轻工机械二厂</t>
    <phoneticPr fontId="6" type="noConversion"/>
  </si>
  <si>
    <t>杭州永创</t>
    <phoneticPr fontId="6" type="noConversion"/>
  </si>
  <si>
    <t>深圳</t>
    <phoneticPr fontId="6" type="noConversion"/>
  </si>
  <si>
    <t>合肥翔宇</t>
    <phoneticPr fontId="6" type="noConversion"/>
  </si>
  <si>
    <t>北京西蒙子</t>
    <phoneticPr fontId="6" type="noConversion"/>
  </si>
  <si>
    <t>西门子</t>
    <phoneticPr fontId="6" type="noConversion"/>
  </si>
  <si>
    <t>广州锐奇</t>
  </si>
  <si>
    <t>南京顺风</t>
    <phoneticPr fontId="6" type="noConversion"/>
  </si>
  <si>
    <t>安徽科林</t>
    <phoneticPr fontId="6" type="noConversion"/>
  </si>
  <si>
    <t>广州锐奇</t>
    <phoneticPr fontId="6" type="noConversion"/>
  </si>
  <si>
    <t>武汉天元</t>
    <phoneticPr fontId="6" type="noConversion"/>
  </si>
  <si>
    <t>山东鲁工</t>
    <phoneticPr fontId="6" type="noConversion"/>
  </si>
  <si>
    <t>合肥欧力杰</t>
    <phoneticPr fontId="6" type="noConversion"/>
  </si>
  <si>
    <t>北京锐拓</t>
    <phoneticPr fontId="6" type="noConversion"/>
  </si>
  <si>
    <t>秦皇岛中德</t>
    <phoneticPr fontId="6" type="noConversion"/>
  </si>
  <si>
    <t>南京汇隆祥</t>
    <phoneticPr fontId="6" type="noConversion"/>
  </si>
  <si>
    <t>依玛仕</t>
    <phoneticPr fontId="6" type="noConversion"/>
  </si>
  <si>
    <t>安徽六孚</t>
  </si>
  <si>
    <t>日新</t>
    <phoneticPr fontId="6" type="noConversion"/>
  </si>
  <si>
    <t>安徽银龙</t>
    <phoneticPr fontId="6" type="noConversion"/>
  </si>
  <si>
    <t>山东明佳</t>
    <phoneticPr fontId="6" type="noConversion"/>
  </si>
  <si>
    <t>科时敏</t>
    <phoneticPr fontId="6" type="noConversion"/>
  </si>
  <si>
    <t>广东粤海</t>
    <phoneticPr fontId="6" type="noConversion"/>
  </si>
  <si>
    <t>威海远航</t>
    <phoneticPr fontId="6" type="noConversion"/>
  </si>
  <si>
    <t>溧阳四方</t>
    <phoneticPr fontId="6" type="noConversion"/>
  </si>
  <si>
    <t>长春万峰</t>
    <phoneticPr fontId="6" type="noConversion"/>
  </si>
  <si>
    <t>APV</t>
    <phoneticPr fontId="6" type="noConversion"/>
  </si>
  <si>
    <t>阿法拉伐</t>
    <phoneticPr fontId="6" type="noConversion"/>
  </si>
  <si>
    <t>青岛澳兰多</t>
    <phoneticPr fontId="6" type="noConversion"/>
  </si>
  <si>
    <t>天津新亚</t>
    <phoneticPr fontId="6" type="noConversion"/>
  </si>
  <si>
    <t>舞钢金大</t>
    <phoneticPr fontId="6" type="noConversion"/>
  </si>
  <si>
    <t>武汉新世界制冷工业</t>
    <phoneticPr fontId="6" type="noConversion"/>
  </si>
  <si>
    <t>南阳锦兴</t>
    <phoneticPr fontId="6" type="noConversion"/>
  </si>
  <si>
    <t>武汉天元锅炉</t>
    <phoneticPr fontId="6" type="noConversion"/>
  </si>
  <si>
    <t>新乡轻机股份</t>
    <phoneticPr fontId="6" type="noConversion"/>
  </si>
  <si>
    <t>南京压缩机股份有限公司</t>
    <phoneticPr fontId="6" type="noConversion"/>
  </si>
  <si>
    <t>SCS-60</t>
    <phoneticPr fontId="6" type="noConversion"/>
  </si>
  <si>
    <t>漯河恒泰</t>
    <phoneticPr fontId="6" type="noConversion"/>
  </si>
  <si>
    <t>中国四建</t>
    <phoneticPr fontId="6" type="noConversion"/>
  </si>
  <si>
    <t>中国机械工业公司四建</t>
    <phoneticPr fontId="6" type="noConversion"/>
  </si>
  <si>
    <t>武汉天元</t>
    <phoneticPr fontId="6" type="noConversion"/>
  </si>
  <si>
    <t>四轮拖拉机</t>
    <phoneticPr fontId="6" type="noConversion"/>
  </si>
  <si>
    <t>0.5t</t>
    <phoneticPr fontId="6" type="noConversion"/>
  </si>
  <si>
    <t>穿刺(化验室)</t>
    <phoneticPr fontId="6" type="noConversion"/>
  </si>
  <si>
    <t>开封华通成套开关有限公司</t>
    <phoneticPr fontId="6" type="noConversion"/>
  </si>
  <si>
    <t>开封华通成套开关有限公司</t>
    <phoneticPr fontId="6" type="noConversion"/>
  </si>
  <si>
    <t>河南开开电器股份</t>
    <phoneticPr fontId="6" type="noConversion"/>
  </si>
  <si>
    <t>生产系统</t>
  </si>
  <si>
    <t>国产</t>
  </si>
  <si>
    <t>m2</t>
    <phoneticPr fontId="6" type="noConversion"/>
  </si>
  <si>
    <t>m</t>
    <phoneticPr fontId="6" type="noConversion"/>
  </si>
  <si>
    <t>宁波信诚</t>
    <phoneticPr fontId="6" type="noConversion"/>
  </si>
  <si>
    <t>卸箱机配电柜</t>
    <phoneticPr fontId="6" type="noConversion"/>
  </si>
  <si>
    <t>卸箱机</t>
    <phoneticPr fontId="6" type="noConversion"/>
  </si>
  <si>
    <t>1.25m</t>
    <phoneticPr fontId="6" type="noConversion"/>
  </si>
  <si>
    <t>报废</t>
    <phoneticPr fontId="6" type="noConversion"/>
  </si>
  <si>
    <r>
      <t>11</t>
    </r>
    <r>
      <rPr>
        <sz val="10"/>
        <rFont val="宋体"/>
        <family val="3"/>
        <charset val="134"/>
      </rPr>
      <t>月</t>
    </r>
    <r>
      <rPr>
        <sz val="10"/>
        <rFont val="Times New Roman"/>
        <family val="1"/>
      </rPr>
      <t>28-30</t>
    </r>
    <phoneticPr fontId="6" type="noConversion"/>
  </si>
  <si>
    <t>木案板台</t>
    <phoneticPr fontId="6" type="noConversion"/>
  </si>
  <si>
    <t>10m</t>
    <phoneticPr fontId="6" type="noConversion"/>
  </si>
  <si>
    <r>
      <rPr>
        <sz val="10"/>
        <rFont val="宋体"/>
        <family val="3"/>
        <charset val="134"/>
      </rPr>
      <t>广东泰宏</t>
    </r>
  </si>
  <si>
    <r>
      <rPr>
        <sz val="10"/>
        <rFont val="宋体"/>
        <family val="3"/>
        <charset val="134"/>
      </rPr>
      <t>上海博讯</t>
    </r>
  </si>
  <si>
    <t>海尔</t>
    <phoneticPr fontId="6" type="noConversion"/>
  </si>
  <si>
    <r>
      <rPr>
        <sz val="10"/>
        <rFont val="宋体"/>
        <family val="3"/>
        <charset val="134"/>
      </rPr>
      <t>上海金坛市宏华仪器厂</t>
    </r>
  </si>
  <si>
    <r>
      <rPr>
        <sz val="10"/>
        <rFont val="宋体"/>
        <family val="3"/>
        <charset val="134"/>
      </rPr>
      <t>上海洪纪</t>
    </r>
  </si>
  <si>
    <t>天津泰斯特</t>
  </si>
  <si>
    <t>梅特勒</t>
  </si>
  <si>
    <r>
      <rPr>
        <sz val="10"/>
        <rFont val="宋体"/>
        <family val="3"/>
        <charset val="134"/>
      </rPr>
      <t>上海国华</t>
    </r>
  </si>
  <si>
    <t>上海昶艾</t>
  </si>
  <si>
    <r>
      <rPr>
        <sz val="10"/>
        <rFont val="宋体"/>
        <family val="3"/>
        <charset val="134"/>
      </rPr>
      <t>北京雷博尔</t>
    </r>
  </si>
  <si>
    <r>
      <rPr>
        <sz val="10"/>
        <rFont val="宋体"/>
        <family val="3"/>
        <charset val="134"/>
      </rPr>
      <t>上海光学仪器六厂</t>
    </r>
    <phoneticPr fontId="145" type="noConversion"/>
  </si>
  <si>
    <t>海尔</t>
    <phoneticPr fontId="6" type="noConversion"/>
  </si>
  <si>
    <t>郑州</t>
    <phoneticPr fontId="6" type="noConversion"/>
  </si>
  <si>
    <t>洛阳</t>
    <phoneticPr fontId="6" type="noConversion"/>
  </si>
  <si>
    <t>漯河</t>
    <phoneticPr fontId="6" type="noConversion"/>
  </si>
  <si>
    <t>KFR-32</t>
    <phoneticPr fontId="6" type="noConversion"/>
  </si>
  <si>
    <t>KFR-71</t>
    <phoneticPr fontId="6" type="noConversion"/>
  </si>
  <si>
    <t>KFR-73</t>
    <phoneticPr fontId="6" type="noConversion"/>
  </si>
  <si>
    <t>南京</t>
    <phoneticPr fontId="6" type="noConversion"/>
  </si>
  <si>
    <t>拆除费率%</t>
    <phoneticPr fontId="6" type="noConversion"/>
  </si>
  <si>
    <t>报废</t>
    <phoneticPr fontId="6" type="noConversion"/>
  </si>
  <si>
    <t>无市场</t>
    <phoneticPr fontId="6" type="noConversion"/>
  </si>
  <si>
    <t>报废</t>
    <phoneticPr fontId="6" type="noConversion"/>
  </si>
  <si>
    <t>套</t>
    <phoneticPr fontId="6" type="noConversion"/>
  </si>
  <si>
    <t>拆后报废</t>
    <phoneticPr fontId="6" type="noConversion"/>
  </si>
  <si>
    <t>拆后报废</t>
    <phoneticPr fontId="6" type="noConversion"/>
  </si>
  <si>
    <t>拆后报废</t>
    <phoneticPr fontId="6" type="noConversion"/>
  </si>
  <si>
    <r>
      <rPr>
        <sz val="10"/>
        <rFont val="宋体"/>
        <family val="3"/>
        <charset val="134"/>
      </rPr>
      <t>不锈钢糖化热水</t>
    </r>
    <r>
      <rPr>
        <sz val="10"/>
        <rFont val="Times New Roman"/>
        <family val="1"/>
      </rPr>
      <t>1#</t>
    </r>
    <r>
      <rPr>
        <sz val="10"/>
        <rFont val="宋体"/>
        <family val="3"/>
        <charset val="134"/>
      </rPr>
      <t>罐</t>
    </r>
    <phoneticPr fontId="6" type="noConversion"/>
  </si>
  <si>
    <r>
      <rPr>
        <sz val="10"/>
        <rFont val="宋体"/>
        <family val="3"/>
        <charset val="134"/>
      </rPr>
      <t>不锈钢糖化热水</t>
    </r>
    <r>
      <rPr>
        <sz val="10"/>
        <rFont val="Times New Roman"/>
        <family val="1"/>
      </rPr>
      <t>2#</t>
    </r>
    <r>
      <rPr>
        <sz val="10"/>
        <rFont val="宋体"/>
        <family val="3"/>
        <charset val="134"/>
      </rPr>
      <t>罐</t>
    </r>
    <phoneticPr fontId="6" type="noConversion"/>
  </si>
  <si>
    <r>
      <rPr>
        <sz val="10"/>
        <rFont val="宋体"/>
        <family val="3"/>
        <charset val="134"/>
      </rPr>
      <t>叉车</t>
    </r>
  </si>
  <si>
    <r>
      <rPr>
        <sz val="10"/>
        <rFont val="宋体"/>
        <family val="3"/>
        <charset val="134"/>
      </rPr>
      <t>叉车</t>
    </r>
    <phoneticPr fontId="6" type="noConversion"/>
  </si>
  <si>
    <r>
      <t>BXI-400-2</t>
    </r>
    <r>
      <rPr>
        <sz val="10"/>
        <rFont val="宋体"/>
        <family val="3"/>
        <charset val="134"/>
      </rPr>
      <t/>
    </r>
    <phoneticPr fontId="6" type="noConversion"/>
  </si>
  <si>
    <r>
      <t xml:space="preserve">深度
</t>
    </r>
    <r>
      <rPr>
        <sz val="10"/>
        <rFont val="Times New Roman"/>
        <family val="1"/>
      </rPr>
      <t>(m)</t>
    </r>
    <phoneticPr fontId="6" type="noConversion"/>
  </si>
  <si>
    <t>m3</t>
  </si>
  <si>
    <t>CBLH0-FWJZW11</t>
  </si>
  <si>
    <t>CBLH0-FWJZW14</t>
  </si>
  <si>
    <t>CBLH0-FWJZW15</t>
  </si>
  <si>
    <t>CBLH0-FWJZW16</t>
  </si>
  <si>
    <t>CBLH0-FWJZW30</t>
  </si>
  <si>
    <t>CBLH0-FWJZW33</t>
  </si>
  <si>
    <t>CBLH0-FWJZW34</t>
  </si>
  <si>
    <t>CBLH0-FWJZW35</t>
  </si>
  <si>
    <t>CBLH0-FWJZW36</t>
  </si>
  <si>
    <t>CBLH0-FWJZW37</t>
  </si>
  <si>
    <t>CBLH0-FWJZW38</t>
  </si>
  <si>
    <t>CBLH0-FWJZW39</t>
  </si>
  <si>
    <t>CBLH0-FWJZW41</t>
  </si>
  <si>
    <t>钢构</t>
    <phoneticPr fontId="6" type="noConversion"/>
  </si>
  <si>
    <t>砖砌</t>
    <phoneticPr fontId="6" type="noConversion"/>
  </si>
  <si>
    <t>混凝土</t>
    <phoneticPr fontId="6" type="noConversion"/>
  </si>
  <si>
    <r>
      <t>合</t>
    </r>
    <r>
      <rPr>
        <sz val="10"/>
        <rFont val="Times New Roman"/>
        <family val="1"/>
      </rPr>
      <t xml:space="preserve">            </t>
    </r>
    <r>
      <rPr>
        <sz val="10"/>
        <rFont val="宋体"/>
        <family val="3"/>
        <charset val="134"/>
      </rPr>
      <t>计</t>
    </r>
    <phoneticPr fontId="6" type="noConversion"/>
  </si>
  <si>
    <t>CBLH0-FWJZW10</t>
  </si>
  <si>
    <t>CBLH0-FWJZW12</t>
  </si>
  <si>
    <t>CBLH0-FWJZW13</t>
  </si>
  <si>
    <t>CBLH0-FWJZW18</t>
  </si>
  <si>
    <t>CBLH0-FWJZW19</t>
  </si>
  <si>
    <t>CBLH0-FWJZW2</t>
  </si>
  <si>
    <t>CBLH0-FWJZW20</t>
  </si>
  <si>
    <t>CBLH0-FWJZW21</t>
  </si>
  <si>
    <t>CBLH0-FWJZW22</t>
  </si>
  <si>
    <t>CBLH0-FWJZW23</t>
  </si>
  <si>
    <t>CBLH0-FWJZW24</t>
  </si>
  <si>
    <t>CBLH0-FWJZW25</t>
  </si>
  <si>
    <t>CBLH0-FWJZW26</t>
  </si>
  <si>
    <t>CBLH0-FWJZW27</t>
  </si>
  <si>
    <t>CBLH0-FWJZW28</t>
  </si>
  <si>
    <t>CBLH0-FWJZW29</t>
  </si>
  <si>
    <t>CBLH0-FWJZW3</t>
  </si>
  <si>
    <t>CBLH0-FWJZW31</t>
  </si>
  <si>
    <t>CBLH0-FWJZW32</t>
  </si>
  <si>
    <t>CBLH0-FWJZW4</t>
  </si>
  <si>
    <t>CBLH0-FWJZW42</t>
  </si>
  <si>
    <t>CBLH0-FWJZW5</t>
  </si>
  <si>
    <t>CBLH0-FWJZW6</t>
  </si>
  <si>
    <t>CBLH0-FWJZW8</t>
  </si>
  <si>
    <t>CBLH0-FWJZW9</t>
  </si>
  <si>
    <r>
      <t>合</t>
    </r>
    <r>
      <rPr>
        <sz val="10"/>
        <rFont val="Times New Roman"/>
        <family val="1"/>
      </rPr>
      <t xml:space="preserve">            </t>
    </r>
    <r>
      <rPr>
        <sz val="10"/>
        <rFont val="宋体"/>
        <family val="3"/>
        <charset val="134"/>
      </rPr>
      <t>计</t>
    </r>
    <phoneticPr fontId="6" type="noConversion"/>
  </si>
  <si>
    <t>拆除费用</t>
    <phoneticPr fontId="6" type="noConversion"/>
  </si>
  <si>
    <t>废钢数量</t>
    <phoneticPr fontId="6" type="noConversion"/>
  </si>
  <si>
    <r>
      <rPr>
        <sz val="10"/>
        <rFont val="宋体"/>
        <family val="3"/>
        <charset val="134"/>
      </rPr>
      <t>混废钢</t>
    </r>
    <r>
      <rPr>
        <sz val="10"/>
        <rFont val="Times New Roman"/>
        <family val="1"/>
      </rPr>
      <t>1200</t>
    </r>
    <r>
      <rPr>
        <sz val="10"/>
        <rFont val="宋体"/>
        <family val="3"/>
        <charset val="134"/>
      </rPr>
      <t>元</t>
    </r>
    <r>
      <rPr>
        <sz val="10"/>
        <rFont val="Times New Roman"/>
        <family val="1"/>
      </rPr>
      <t>/t</t>
    </r>
    <phoneticPr fontId="6" type="noConversion"/>
  </si>
  <si>
    <t>评估值</t>
    <phoneticPr fontId="6" type="noConversion"/>
  </si>
  <si>
    <t>钢混</t>
    <phoneticPr fontId="6" type="noConversion"/>
  </si>
  <si>
    <t>钢混</t>
    <phoneticPr fontId="6" type="noConversion"/>
  </si>
  <si>
    <t>m2</t>
    <phoneticPr fontId="6" type="noConversion"/>
  </si>
  <si>
    <r>
      <rPr>
        <sz val="10"/>
        <rFont val="宋体"/>
        <family val="3"/>
        <charset val="134"/>
      </rPr>
      <t>舞产权证城区字第</t>
    </r>
    <r>
      <rPr>
        <sz val="10"/>
        <rFont val="Times New Roman"/>
        <family val="1"/>
      </rPr>
      <t>201402250</t>
    </r>
    <r>
      <rPr>
        <sz val="10"/>
        <rFont val="宋体"/>
        <family val="3"/>
        <charset val="134"/>
      </rPr>
      <t>号</t>
    </r>
    <phoneticPr fontId="6" type="noConversion"/>
  </si>
  <si>
    <t>混合</t>
    <phoneticPr fontId="6" type="noConversion"/>
  </si>
  <si>
    <t>钢结构</t>
    <phoneticPr fontId="6" type="noConversion"/>
  </si>
  <si>
    <t>简易板房</t>
    <phoneticPr fontId="6" type="noConversion"/>
  </si>
  <si>
    <r>
      <rPr>
        <sz val="10"/>
        <rFont val="宋体"/>
        <family val="3"/>
        <charset val="134"/>
      </rPr>
      <t>舞产权证城区字第</t>
    </r>
    <r>
      <rPr>
        <sz val="10"/>
        <rFont val="Times New Roman"/>
        <family val="1"/>
      </rPr>
      <t>201200008</t>
    </r>
    <r>
      <rPr>
        <sz val="10"/>
        <rFont val="宋体"/>
        <family val="3"/>
        <charset val="134"/>
      </rPr>
      <t>号</t>
    </r>
    <phoneticPr fontId="6" type="noConversion"/>
  </si>
  <si>
    <t>砖混</t>
    <phoneticPr fontId="6" type="noConversion"/>
  </si>
  <si>
    <t>砖混</t>
    <phoneticPr fontId="6" type="noConversion"/>
  </si>
  <si>
    <t>CBLH0-FWJZW1</t>
    <phoneticPr fontId="6" type="noConversion"/>
  </si>
  <si>
    <r>
      <rPr>
        <sz val="10"/>
        <rFont val="宋体"/>
        <family val="3"/>
        <charset val="134"/>
      </rPr>
      <t>舞产权证城区字第</t>
    </r>
    <r>
      <rPr>
        <sz val="10"/>
        <rFont val="Times New Roman"/>
        <family val="1"/>
      </rPr>
      <t>201200002</t>
    </r>
    <r>
      <rPr>
        <sz val="10"/>
        <rFont val="宋体"/>
        <family val="3"/>
        <charset val="134"/>
      </rPr>
      <t>号</t>
    </r>
    <phoneticPr fontId="6" type="noConversion"/>
  </si>
  <si>
    <r>
      <rPr>
        <sz val="10"/>
        <rFont val="宋体"/>
        <family val="3"/>
        <charset val="134"/>
      </rPr>
      <t>舞产权证城区字第</t>
    </r>
    <r>
      <rPr>
        <sz val="10"/>
        <rFont val="Times New Roman"/>
        <family val="1"/>
      </rPr>
      <t>201200005</t>
    </r>
    <r>
      <rPr>
        <sz val="10"/>
        <rFont val="宋体"/>
        <family val="3"/>
        <charset val="134"/>
      </rPr>
      <t>号</t>
    </r>
    <phoneticPr fontId="6" type="noConversion"/>
  </si>
  <si>
    <r>
      <rPr>
        <sz val="10"/>
        <rFont val="宋体"/>
        <family val="3"/>
        <charset val="134"/>
      </rPr>
      <t>舞产权证城区字第</t>
    </r>
    <r>
      <rPr>
        <sz val="10"/>
        <rFont val="Times New Roman"/>
        <family val="1"/>
      </rPr>
      <t>201200006</t>
    </r>
    <r>
      <rPr>
        <sz val="10"/>
        <rFont val="宋体"/>
        <family val="3"/>
        <charset val="134"/>
      </rPr>
      <t>号</t>
    </r>
    <phoneticPr fontId="6" type="noConversion"/>
  </si>
  <si>
    <t>砖混+钢结构</t>
    <phoneticPr fontId="6" type="noConversion"/>
  </si>
  <si>
    <r>
      <rPr>
        <sz val="10"/>
        <rFont val="宋体"/>
        <family val="3"/>
        <charset val="134"/>
      </rPr>
      <t>舞产权证城区字第</t>
    </r>
    <r>
      <rPr>
        <sz val="10"/>
        <rFont val="Times New Roman"/>
        <family val="1"/>
      </rPr>
      <t>201200009</t>
    </r>
    <r>
      <rPr>
        <sz val="10"/>
        <rFont val="宋体"/>
        <family val="3"/>
        <charset val="134"/>
      </rPr>
      <t>号</t>
    </r>
    <phoneticPr fontId="6" type="noConversion"/>
  </si>
  <si>
    <r>
      <rPr>
        <sz val="10"/>
        <rFont val="宋体"/>
        <family val="3"/>
        <charset val="134"/>
      </rPr>
      <t>舞产权证城区字第</t>
    </r>
    <r>
      <rPr>
        <sz val="10"/>
        <rFont val="Times New Roman"/>
        <family val="1"/>
      </rPr>
      <t>201200007</t>
    </r>
    <r>
      <rPr>
        <sz val="10"/>
        <rFont val="宋体"/>
        <family val="3"/>
        <charset val="134"/>
      </rPr>
      <t>号</t>
    </r>
    <phoneticPr fontId="6" type="noConversion"/>
  </si>
  <si>
    <t>钢混+钢结构</t>
    <phoneticPr fontId="6" type="noConversion"/>
  </si>
  <si>
    <r>
      <rPr>
        <sz val="10"/>
        <rFont val="宋体"/>
        <family val="3"/>
        <charset val="134"/>
      </rPr>
      <t>舞产权证城区字第</t>
    </r>
    <r>
      <rPr>
        <sz val="10"/>
        <rFont val="Times New Roman"/>
        <family val="1"/>
      </rPr>
      <t>201200010</t>
    </r>
    <r>
      <rPr>
        <sz val="10"/>
        <rFont val="宋体"/>
        <family val="3"/>
        <charset val="134"/>
      </rPr>
      <t>号</t>
    </r>
    <phoneticPr fontId="6" type="noConversion"/>
  </si>
  <si>
    <r>
      <rPr>
        <sz val="10"/>
        <rFont val="宋体"/>
        <family val="3"/>
        <charset val="134"/>
      </rPr>
      <t>舞产权证城区字第</t>
    </r>
    <r>
      <rPr>
        <sz val="10"/>
        <rFont val="Times New Roman"/>
        <family val="1"/>
      </rPr>
      <t>201200003</t>
    </r>
    <r>
      <rPr>
        <sz val="10"/>
        <rFont val="宋体"/>
        <family val="3"/>
        <charset val="134"/>
      </rPr>
      <t>号</t>
    </r>
    <phoneticPr fontId="6" type="noConversion"/>
  </si>
  <si>
    <r>
      <rPr>
        <sz val="10"/>
        <rFont val="宋体"/>
        <family val="3"/>
        <charset val="134"/>
      </rPr>
      <t>舞产权证城区字第</t>
    </r>
    <r>
      <rPr>
        <sz val="10"/>
        <rFont val="Times New Roman"/>
        <family val="1"/>
      </rPr>
      <t>201200004</t>
    </r>
    <r>
      <rPr>
        <sz val="10"/>
        <rFont val="宋体"/>
        <family val="3"/>
        <charset val="134"/>
      </rPr>
      <t>号</t>
    </r>
    <phoneticPr fontId="6" type="noConversion"/>
  </si>
  <si>
    <t>废钢</t>
    <phoneticPr fontId="6" type="noConversion"/>
  </si>
  <si>
    <t>废钢价</t>
    <phoneticPr fontId="6" type="noConversion"/>
  </si>
  <si>
    <r>
      <t>成新率</t>
    </r>
    <r>
      <rPr>
        <sz val="10"/>
        <rFont val="Times New Roman"/>
        <family val="1"/>
      </rPr>
      <t>%</t>
    </r>
    <phoneticPr fontId="6" type="noConversion"/>
  </si>
  <si>
    <t>m3</t>
    <phoneticPr fontId="6" type="noConversion"/>
  </si>
  <si>
    <r>
      <rPr>
        <sz val="10"/>
        <rFont val="宋体"/>
        <family val="3"/>
        <charset val="134"/>
      </rPr>
      <t>￠</t>
    </r>
    <r>
      <rPr>
        <sz val="10"/>
        <rFont val="Times New Roman"/>
        <family val="1"/>
      </rPr>
      <t>2.4</t>
    </r>
    <phoneticPr fontId="6" type="noConversion"/>
  </si>
  <si>
    <r>
      <rPr>
        <sz val="10"/>
        <rFont val="宋体"/>
        <family val="3"/>
        <charset val="134"/>
      </rPr>
      <t>￠</t>
    </r>
    <r>
      <rPr>
        <sz val="10"/>
        <rFont val="Times New Roman"/>
        <family val="1"/>
      </rPr>
      <t>9.5</t>
    </r>
    <phoneticPr fontId="6" type="noConversion"/>
  </si>
  <si>
    <t>钢构</t>
    <phoneticPr fontId="6" type="noConversion"/>
  </si>
  <si>
    <t>钢屋架车棚</t>
    <phoneticPr fontId="6" type="noConversion"/>
  </si>
  <si>
    <t>砖砌</t>
    <phoneticPr fontId="6" type="noConversion"/>
  </si>
  <si>
    <t>调节池</t>
    <phoneticPr fontId="6" type="noConversion"/>
  </si>
  <si>
    <t>m</t>
    <phoneticPr fontId="6" type="noConversion"/>
  </si>
  <si>
    <t>混凝土</t>
    <phoneticPr fontId="6" type="noConversion"/>
  </si>
  <si>
    <t>红叶石楠</t>
    <phoneticPr fontId="145" type="noConversion"/>
  </si>
  <si>
    <r>
      <rPr>
        <sz val="10"/>
        <rFont val="宋体"/>
        <family val="3"/>
        <charset val="134"/>
      </rPr>
      <t>胸径约</t>
    </r>
    <r>
      <rPr>
        <sz val="10"/>
        <rFont val="Times New Roman"/>
        <family val="1"/>
      </rPr>
      <t>7cm</t>
    </r>
    <phoneticPr fontId="6" type="noConversion"/>
  </si>
  <si>
    <t>棵</t>
    <phoneticPr fontId="6" type="noConversion"/>
  </si>
  <si>
    <t>红叶石楠苗</t>
    <phoneticPr fontId="145" type="noConversion"/>
  </si>
  <si>
    <r>
      <rPr>
        <sz val="10"/>
        <rFont val="宋体"/>
        <family val="3"/>
        <charset val="134"/>
      </rPr>
      <t>胸径约</t>
    </r>
    <r>
      <rPr>
        <sz val="10"/>
        <rFont val="Times New Roman"/>
        <family val="1"/>
      </rPr>
      <t>3cm</t>
    </r>
    <phoneticPr fontId="6" type="noConversion"/>
  </si>
  <si>
    <t>不知名（绿叶）1</t>
    <phoneticPr fontId="145" type="noConversion"/>
  </si>
  <si>
    <r>
      <rPr>
        <sz val="10"/>
        <rFont val="宋体"/>
        <family val="3"/>
        <charset val="134"/>
      </rPr>
      <t>胸径约</t>
    </r>
    <r>
      <rPr>
        <sz val="10"/>
        <rFont val="Times New Roman"/>
        <family val="1"/>
      </rPr>
      <t>25cm</t>
    </r>
    <phoneticPr fontId="6" type="noConversion"/>
  </si>
  <si>
    <t>不知名（绿叶）2</t>
  </si>
  <si>
    <t>胸径约15cm</t>
  </si>
  <si>
    <t>紫微（深红叶）1</t>
    <phoneticPr fontId="145" type="noConversion"/>
  </si>
  <si>
    <t>胸径约30cm</t>
  </si>
  <si>
    <t>紫微（深红叶）2</t>
  </si>
  <si>
    <t>胸径约25cm</t>
  </si>
  <si>
    <t>紫微（深红叶）3</t>
  </si>
  <si>
    <t>紫微（深红叶）4</t>
  </si>
  <si>
    <t>紫微（深红叶）5</t>
  </si>
  <si>
    <t>胸径约40cm</t>
  </si>
  <si>
    <t>紫微（深红叶）6</t>
  </si>
  <si>
    <t>松树1</t>
    <phoneticPr fontId="145" type="noConversion"/>
  </si>
  <si>
    <t>松树2</t>
  </si>
  <si>
    <t>松树3</t>
  </si>
  <si>
    <t>松树4</t>
  </si>
  <si>
    <t>松树5</t>
  </si>
  <si>
    <t>松树6</t>
  </si>
  <si>
    <t>松树7</t>
  </si>
  <si>
    <t>松树8</t>
  </si>
  <si>
    <t>胸径约35cm</t>
  </si>
  <si>
    <t>松树9</t>
  </si>
  <si>
    <t>松树10</t>
  </si>
  <si>
    <t>松树11</t>
  </si>
  <si>
    <t>松树12</t>
  </si>
  <si>
    <t>松树13</t>
  </si>
  <si>
    <t>松树14</t>
  </si>
  <si>
    <t>胸径约20cm</t>
  </si>
  <si>
    <t>松树15</t>
  </si>
  <si>
    <t>松树16</t>
  </si>
  <si>
    <t>松树17</t>
  </si>
  <si>
    <t>松树18</t>
  </si>
  <si>
    <t>胸径约28cm</t>
  </si>
  <si>
    <t>松树19</t>
  </si>
  <si>
    <t>松树20</t>
  </si>
  <si>
    <t>松树21</t>
  </si>
  <si>
    <t>松树22</t>
  </si>
  <si>
    <t>松树23</t>
  </si>
  <si>
    <t>松树24</t>
  </si>
  <si>
    <t>松树25</t>
  </si>
  <si>
    <t>松树26</t>
  </si>
  <si>
    <t>松树27</t>
  </si>
  <si>
    <t>松树28</t>
  </si>
  <si>
    <t>松树29</t>
  </si>
  <si>
    <t>松树30</t>
  </si>
  <si>
    <t>松树31</t>
  </si>
  <si>
    <t>松树32</t>
  </si>
  <si>
    <t>松树33</t>
  </si>
  <si>
    <t>松树34</t>
  </si>
  <si>
    <t>女贞树1</t>
    <phoneticPr fontId="145" type="noConversion"/>
  </si>
  <si>
    <t>女贞树2</t>
  </si>
  <si>
    <t>女贞树3</t>
  </si>
  <si>
    <t>女贞树4</t>
  </si>
  <si>
    <t>女贞树5</t>
  </si>
  <si>
    <t>女贞树6</t>
  </si>
  <si>
    <t>女贞树7</t>
  </si>
  <si>
    <t>女贞树8</t>
  </si>
  <si>
    <t>女贞树9</t>
  </si>
  <si>
    <t>女贞树10</t>
  </si>
  <si>
    <t>胸径约16cm</t>
  </si>
  <si>
    <t>女贞树11</t>
  </si>
  <si>
    <t>女贞树12</t>
  </si>
  <si>
    <t>胸径约18cm</t>
  </si>
  <si>
    <t>女贞树13</t>
  </si>
  <si>
    <t>女贞树14</t>
  </si>
  <si>
    <t>女贞树15</t>
  </si>
  <si>
    <t>女贞树16</t>
  </si>
  <si>
    <t>女贞树17</t>
  </si>
  <si>
    <t>女贞树18</t>
  </si>
  <si>
    <t>女贞树19</t>
  </si>
  <si>
    <t>女贞树20</t>
  </si>
  <si>
    <t>女贞树21</t>
  </si>
  <si>
    <t>女贞树22</t>
  </si>
  <si>
    <t>女贞树23</t>
  </si>
  <si>
    <t>胸径约17cm</t>
  </si>
  <si>
    <t>女贞树24</t>
  </si>
  <si>
    <t>女贞树25</t>
  </si>
  <si>
    <t>女贞树26</t>
  </si>
  <si>
    <t>女贞树27</t>
  </si>
  <si>
    <t>女贞树28</t>
  </si>
  <si>
    <t>女贞树29</t>
  </si>
  <si>
    <t>棵</t>
    <phoneticPr fontId="6" type="noConversion"/>
  </si>
  <si>
    <t>女贞树30</t>
  </si>
  <si>
    <t>女贞树31</t>
  </si>
  <si>
    <t>胸径约12cm</t>
  </si>
  <si>
    <t>女贞树32</t>
  </si>
  <si>
    <t>胸径约22cm</t>
  </si>
  <si>
    <t>女贞树33</t>
  </si>
  <si>
    <t>女贞树34</t>
  </si>
  <si>
    <t>女贞树35</t>
  </si>
  <si>
    <t>女贞树36</t>
  </si>
  <si>
    <t>女贞树37</t>
  </si>
  <si>
    <t>女贞树38</t>
  </si>
  <si>
    <t>女贞树39</t>
  </si>
  <si>
    <t>女贞树40</t>
  </si>
  <si>
    <t>女贞树41</t>
  </si>
  <si>
    <t>女贞树42</t>
  </si>
  <si>
    <t>女贞树43</t>
  </si>
  <si>
    <t>女贞树44</t>
  </si>
  <si>
    <t>胸径约10cm</t>
  </si>
  <si>
    <t>女贞树45</t>
  </si>
  <si>
    <t>女贞树46</t>
  </si>
  <si>
    <t>女贞树47</t>
  </si>
  <si>
    <t>女贞树48</t>
  </si>
  <si>
    <t>女贞树49</t>
  </si>
  <si>
    <t>女贞树50</t>
  </si>
  <si>
    <t>女贞树51</t>
  </si>
  <si>
    <t>女贞树52</t>
  </si>
  <si>
    <t>胸径约23cm</t>
  </si>
  <si>
    <t>女贞树53</t>
  </si>
  <si>
    <t>女贞树54</t>
  </si>
  <si>
    <t>女贞树55</t>
  </si>
  <si>
    <t>女贞树56</t>
  </si>
  <si>
    <t>女贞树57</t>
  </si>
  <si>
    <t>女贞树58</t>
  </si>
  <si>
    <t>女贞树59</t>
  </si>
  <si>
    <t>胸径约13cm</t>
  </si>
  <si>
    <t>女贞树60</t>
  </si>
  <si>
    <t>女贞树61</t>
  </si>
  <si>
    <t>女贞树62</t>
  </si>
  <si>
    <t>女贞树63</t>
  </si>
  <si>
    <t>女贞树64</t>
  </si>
  <si>
    <t>女贞树65</t>
  </si>
  <si>
    <t>百日红树</t>
    <phoneticPr fontId="145" type="noConversion"/>
  </si>
  <si>
    <t>胸径约5cm</t>
  </si>
  <si>
    <t>桂花树</t>
    <phoneticPr fontId="145" type="noConversion"/>
  </si>
  <si>
    <t>冬青树</t>
    <phoneticPr fontId="145" type="noConversion"/>
  </si>
  <si>
    <r>
      <rPr>
        <sz val="10"/>
        <rFont val="宋体"/>
        <family val="3"/>
        <charset val="134"/>
      </rPr>
      <t>胸径约</t>
    </r>
    <r>
      <rPr>
        <sz val="10"/>
        <rFont val="Times New Roman"/>
        <family val="1"/>
      </rPr>
      <t>20cm</t>
    </r>
    <phoneticPr fontId="6" type="noConversion"/>
  </si>
  <si>
    <t>套</t>
    <phoneticPr fontId="6" type="noConversion"/>
  </si>
  <si>
    <t>取定成新率</t>
    <phoneticPr fontId="6" type="noConversion"/>
  </si>
  <si>
    <t>理论成新率</t>
    <phoneticPr fontId="6" type="noConversion"/>
  </si>
  <si>
    <t>包一车间钢结构厂房</t>
    <phoneticPr fontId="6" type="noConversion"/>
  </si>
  <si>
    <t>包二车间厂房</t>
    <phoneticPr fontId="6" type="noConversion"/>
  </si>
  <si>
    <t>制麦厂房</t>
    <phoneticPr fontId="6" type="noConversion"/>
  </si>
  <si>
    <t>仓库</t>
    <phoneticPr fontId="6" type="noConversion"/>
  </si>
  <si>
    <t>营业厅办公楼</t>
    <phoneticPr fontId="6" type="noConversion"/>
  </si>
  <si>
    <t>厂区道路、广场</t>
    <phoneticPr fontId="6" type="noConversion"/>
  </si>
  <si>
    <t>动力及公共管道、管架</t>
    <phoneticPr fontId="6" type="noConversion"/>
  </si>
  <si>
    <t>输瓶链带</t>
    <phoneticPr fontId="6" type="noConversion"/>
  </si>
  <si>
    <t>杀菌机</t>
    <phoneticPr fontId="6" type="noConversion"/>
  </si>
  <si>
    <t>灌装压盖机</t>
    <phoneticPr fontId="6" type="noConversion"/>
  </si>
  <si>
    <t>洗瓶机</t>
    <phoneticPr fontId="6" type="noConversion"/>
  </si>
  <si>
    <t>空瓶检验机</t>
    <phoneticPr fontId="6" type="noConversion"/>
  </si>
  <si>
    <t>锅炉主机</t>
    <phoneticPr fontId="6" type="noConversion"/>
  </si>
  <si>
    <t>XP30E</t>
    <phoneticPr fontId="6" type="noConversion"/>
  </si>
  <si>
    <r>
      <t>DZL10-1.25-A</t>
    </r>
    <r>
      <rPr>
        <sz val="10"/>
        <rFont val="宋体"/>
        <family val="3"/>
        <charset val="134"/>
      </rPr>
      <t>Ⅱ</t>
    </r>
    <phoneticPr fontId="6" type="noConversion"/>
  </si>
  <si>
    <t>混废钢</t>
    <phoneticPr fontId="6" type="noConversion"/>
  </si>
  <si>
    <r>
      <rPr>
        <sz val="10"/>
        <color rgb="FFFF0000"/>
        <rFont val="宋体"/>
        <family val="3"/>
        <charset val="134"/>
      </rPr>
      <t>杀菌机</t>
    </r>
  </si>
  <si>
    <r>
      <rPr>
        <sz val="10"/>
        <color rgb="FFFF0000"/>
        <rFont val="宋体"/>
        <family val="3"/>
        <charset val="134"/>
      </rPr>
      <t>生产系统</t>
    </r>
  </si>
  <si>
    <r>
      <rPr>
        <sz val="10"/>
        <color rgb="FFFF0000"/>
        <rFont val="宋体"/>
        <family val="3"/>
        <charset val="134"/>
      </rPr>
      <t>装箱机</t>
    </r>
  </si>
  <si>
    <t>改造费</t>
    <phoneticPr fontId="6" type="noConversion"/>
  </si>
  <si>
    <r>
      <rPr>
        <sz val="10"/>
        <color rgb="FFFF0000"/>
        <rFont val="宋体"/>
        <family val="3"/>
        <charset val="134"/>
      </rPr>
      <t>空瓶检验机</t>
    </r>
  </si>
  <si>
    <r>
      <rPr>
        <sz val="10"/>
        <color rgb="FFFF0000"/>
        <rFont val="宋体"/>
        <family val="3"/>
        <charset val="134"/>
      </rPr>
      <t>洗瓶机</t>
    </r>
  </si>
  <si>
    <r>
      <t>CO2</t>
    </r>
    <r>
      <rPr>
        <sz val="10"/>
        <color rgb="FFFF0000"/>
        <rFont val="宋体"/>
        <family val="3"/>
        <charset val="134"/>
      </rPr>
      <t>液储罐</t>
    </r>
  </si>
  <si>
    <t>已处理</t>
    <phoneticPr fontId="6" type="noConversion"/>
  </si>
  <si>
    <r>
      <rPr>
        <sz val="10"/>
        <color rgb="FFFF0000"/>
        <rFont val="宋体"/>
        <family val="3"/>
        <charset val="134"/>
      </rPr>
      <t>亮蓝</t>
    </r>
  </si>
  <si>
    <r>
      <rPr>
        <sz val="10"/>
        <color rgb="FFFF0000"/>
        <rFont val="宋体"/>
        <family val="3"/>
        <charset val="134"/>
      </rPr>
      <t>维生素</t>
    </r>
    <r>
      <rPr>
        <sz val="10"/>
        <color rgb="FFFF0000"/>
        <rFont val="Times New Roman"/>
        <family val="1"/>
      </rPr>
      <t>C</t>
    </r>
  </si>
  <si>
    <r>
      <rPr>
        <sz val="10"/>
        <color rgb="FFFF0000"/>
        <rFont val="宋体"/>
        <family val="3"/>
        <charset val="134"/>
      </rPr>
      <t>苋菜红</t>
    </r>
  </si>
  <si>
    <r>
      <rPr>
        <sz val="10"/>
        <color rgb="FFFF0000"/>
        <rFont val="宋体"/>
        <family val="3"/>
        <charset val="134"/>
      </rPr>
      <t>原煤</t>
    </r>
  </si>
  <si>
    <t>卫生级耐压橡胶软管</t>
    <phoneticPr fontId="6" type="noConversion"/>
  </si>
  <si>
    <t>透明胶带</t>
    <phoneticPr fontId="6" type="noConversion"/>
  </si>
  <si>
    <t>角铁</t>
    <phoneticPr fontId="6" type="noConversion"/>
  </si>
  <si>
    <t>钢板</t>
    <phoneticPr fontId="6" type="noConversion"/>
  </si>
  <si>
    <t>镀锌扁钢</t>
    <phoneticPr fontId="6" type="noConversion"/>
  </si>
  <si>
    <t>不锈钢板</t>
    <phoneticPr fontId="6" type="noConversion"/>
  </si>
  <si>
    <t>不锈钢钢管</t>
    <phoneticPr fontId="6" type="noConversion"/>
  </si>
  <si>
    <r>
      <t>203</t>
    </r>
    <r>
      <rPr>
        <sz val="10"/>
        <color rgb="FFFF0000"/>
        <rFont val="宋体"/>
        <family val="3"/>
        <charset val="134"/>
      </rPr>
      <t>米井</t>
    </r>
  </si>
  <si>
    <r>
      <t>405</t>
    </r>
    <r>
      <rPr>
        <sz val="10"/>
        <color rgb="FFFF0000"/>
        <rFont val="宋体"/>
        <family val="3"/>
        <charset val="134"/>
      </rPr>
      <t>米井</t>
    </r>
  </si>
  <si>
    <r>
      <t>212</t>
    </r>
    <r>
      <rPr>
        <sz val="10"/>
        <color rgb="FFFF0000"/>
        <rFont val="宋体"/>
        <family val="3"/>
        <charset val="134"/>
      </rPr>
      <t>米井</t>
    </r>
  </si>
  <si>
    <r>
      <rPr>
        <sz val="10"/>
        <color rgb="FFFF0000"/>
        <rFont val="宋体"/>
        <family val="3"/>
        <charset val="134"/>
      </rPr>
      <t>机房防雷</t>
    </r>
  </si>
  <si>
    <t>原值（红字变了）</t>
    <phoneticPr fontId="6" type="noConversion"/>
  </si>
  <si>
    <r>
      <rPr>
        <sz val="10"/>
        <rFont val="宋体"/>
        <family val="3"/>
        <charset val="134"/>
      </rPr>
      <t>净值（</t>
    </r>
    <r>
      <rPr>
        <sz val="10"/>
        <rFont val="Times New Roman"/>
        <family val="1"/>
      </rPr>
      <t>0326</t>
    </r>
    <r>
      <rPr>
        <sz val="10"/>
        <rFont val="宋体"/>
        <family val="3"/>
        <charset val="134"/>
      </rPr>
      <t>）</t>
    </r>
    <phoneticPr fontId="6" type="noConversion"/>
  </si>
  <si>
    <t>大值</t>
    <phoneticPr fontId="6" type="noConversion"/>
  </si>
  <si>
    <t>CO2液储罐</t>
    <phoneticPr fontId="6" type="noConversion"/>
  </si>
  <si>
    <r>
      <rPr>
        <sz val="10"/>
        <rFont val="宋体"/>
        <family val="3"/>
        <charset val="134"/>
      </rPr>
      <t>酵母扩培设备</t>
    </r>
    <phoneticPr fontId="6" type="noConversion"/>
  </si>
  <si>
    <r>
      <rPr>
        <sz val="10"/>
        <rFont val="宋体"/>
        <family val="3"/>
        <charset val="134"/>
      </rPr>
      <t>麦汁充氧系统</t>
    </r>
    <phoneticPr fontId="6" type="noConversion"/>
  </si>
  <si>
    <t>0326提出不评估</t>
  </si>
  <si>
    <t>0315提出不评估</t>
  </si>
  <si>
    <t>原版</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</si>
</sst>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0">
    <numFmt numFmtId="7" formatCode="&quot;¥&quot;#,##0.00;&quot;¥&quot;\-#,##0.00"/>
    <numFmt numFmtId="42" formatCode="_ &quot;¥&quot;* #,##0_ ;_ &quot;¥&quot;* \-#,##0_ ;_ &quot;¥&quot;* &quot;-&quot;_ ;_ @_ "/>
    <numFmt numFmtId="41" formatCode="_ * #,##0_ ;_ * \-#,##0_ ;_ * &quot;-&quot;_ ;_ @_ "/>
    <numFmt numFmtId="43" formatCode="_ * #,##0.00_ ;_ * \-#,##0.00_ ;_ * &quot;-&quot;??_ ;_ @_ "/>
    <numFmt numFmtId="24" formatCode="\$#,##0_);[Red]\(\$#,##0\)"/>
    <numFmt numFmtId="25" formatCode="\$#,##0.00_);\(\$#,##0.00\)"/>
    <numFmt numFmtId="176" formatCode="_(&quot;$&quot;* #,##0.0_);_(&quot;$&quot;* \(#,##0.0\);_(&quot;$&quot;* &quot;-&quot;??_);_(@_)"/>
    <numFmt numFmtId="177" formatCode="_(&quot;$&quot;* #,##0_);_(&quot;$&quot;* \(#,##0\);_(&quot;$&quot;* &quot;-&quot;??_);_(@_)"/>
    <numFmt numFmtId="178" formatCode="mm/dd/yy_)"/>
    <numFmt numFmtId="179" formatCode="mmm\ dd\,\ yy"/>
    <numFmt numFmtId="180" formatCode="#,##0.00_ "/>
    <numFmt numFmtId="181" formatCode="0.00_ "/>
    <numFmt numFmtId="182" formatCode="0.00_);[Red]\(0.00\)"/>
    <numFmt numFmtId="183" formatCode="yyyy/mm"/>
    <numFmt numFmtId="184" formatCode="000000"/>
    <numFmt numFmtId="185" formatCode="0_ "/>
    <numFmt numFmtId="186" formatCode="_(* #,##0.00_);_(* \(#,##0.00\);_(* &quot;-&quot;??_);_(@_)"/>
    <numFmt numFmtId="187" formatCode="#,##0.00;\(#,##0.00\)"/>
    <numFmt numFmtId="188" formatCode="#,##0;\(#,##0\)"/>
    <numFmt numFmtId="189" formatCode="_(* #,##0_);_(* \(#,##0\);_(* &quot;-&quot;_);_(@_)"/>
    <numFmt numFmtId="190" formatCode="#,##0.00_ ;[Red]\-#,##0.00\ "/>
    <numFmt numFmtId="191" formatCode="0_);[Red]\(0\)"/>
    <numFmt numFmtId="192" formatCode="#,##0.0"/>
    <numFmt numFmtId="193" formatCode="_-* #,##0.00_-;\-* #,##0.00_-;_-* &quot;-&quot;??_-;_-@_-"/>
    <numFmt numFmtId="194" formatCode="mmm/yyyy;_-\ &quot;N/A&quot;_-;_-\ &quot;-&quot;_-"/>
    <numFmt numFmtId="195" formatCode="mmm/dd/yyyy;_-\ &quot;N/A&quot;_-;_-\ &quot;-&quot;_-"/>
    <numFmt numFmtId="196" formatCode="_-#,##0_-;\(#,##0\);_-\ \ &quot;-&quot;_-;_-@_-"/>
    <numFmt numFmtId="197" formatCode="_-#,##0.00_-;\(#,##0.00\);_-\ \ &quot;-&quot;_-;_-@_-"/>
    <numFmt numFmtId="198" formatCode="_-#,##0%_-;\(#,##0%\);_-\ &quot;-&quot;_-"/>
    <numFmt numFmtId="199" formatCode="_-#,###,_-;\(#,###,\);_-\ \ &quot;-&quot;_-;_-@_-"/>
    <numFmt numFmtId="200" formatCode="_-#,###.00,_-;\(#,###.00,\);_-\ \ &quot;-&quot;_-;_-@_-"/>
    <numFmt numFmtId="201" formatCode="_([$€-2]* #,##0.00_);_([$€-2]* \(#,##0.00\);_([$€-2]* &quot;-&quot;??_)"/>
    <numFmt numFmtId="202" formatCode="_-* #,##0_-;\-* #,##0_-;_-* &quot;-&quot;??_-;_-@_-"/>
    <numFmt numFmtId="203" formatCode="#,##0\ &quot; &quot;;\(#,##0\)\ ;&quot;—&quot;&quot; &quot;&quot; &quot;&quot; &quot;&quot; &quot;"/>
    <numFmt numFmtId="204" formatCode="_-#0&quot;.&quot;0000_-;\(#0&quot;.&quot;0000\);_-\ \ &quot;-&quot;_-;_-@_-"/>
    <numFmt numFmtId="205" formatCode="_-#0&quot;.&quot;0,_-;\(#0&quot;.&quot;0,\);_-\ \ &quot;-&quot;_-;_-@_-"/>
    <numFmt numFmtId="206" formatCode="0.0%"/>
    <numFmt numFmtId="207" formatCode="_-* #,##0_-;\-* #,##0_-;_-* &quot;-&quot;_-;_-@_-"/>
    <numFmt numFmtId="208" formatCode="&quot;$&quot;#,##0;\-&quot;$&quot;#,##0"/>
    <numFmt numFmtId="209" formatCode="#,##0.00&quot;¥&quot;;\-#,##0.00&quot;¥&quot;"/>
    <numFmt numFmtId="210" formatCode="#,##0.00&quot;¥&quot;;[Red]\-#,##0.00&quot;¥&quot;"/>
    <numFmt numFmtId="211" formatCode="_-* #,##0&quot;¥&quot;_-;\-* #,##0&quot;¥&quot;_-;_-* &quot;-&quot;&quot;¥&quot;_-;_-@_-"/>
    <numFmt numFmtId="212" formatCode="_-* #,##0.00&quot;¥&quot;_-;\-* #,##0.00&quot;¥&quot;_-;_-* &quot;-&quot;??&quot;¥&quot;_-;_-@_-"/>
    <numFmt numFmtId="213" formatCode="0.000%"/>
    <numFmt numFmtId="214" formatCode="&quot;\&quot;#,##0;[Red]&quot;\&quot;&quot;\&quot;&quot;\&quot;&quot;\&quot;&quot;\&quot;&quot;\&quot;&quot;\&quot;\-#,##0"/>
    <numFmt numFmtId="215" formatCode="#,##0_ "/>
    <numFmt numFmtId="216" formatCode="_ * #,##0_ ;_ * \-#,##0_ ;_ * &quot;-&quot;??_ ;_ @_ "/>
    <numFmt numFmtId="217" formatCode="0.00_);\(0.00\)"/>
    <numFmt numFmtId="218" formatCode="0_);\(0\)"/>
    <numFmt numFmtId="219" formatCode="0.0_);\(0.0\)"/>
    <numFmt numFmtId="220" formatCode="&quot;\&quot;#,##0.00;[Red]&quot;\&quot;\-#,##0.00"/>
    <numFmt numFmtId="221" formatCode="&quot;\&quot;#,##0;&quot;\&quot;\-#,##0"/>
    <numFmt numFmtId="222" formatCode="_(* #,##0.0,_);_(* \(#,##0.0,\);_(* &quot;-&quot;_);_(@_)"/>
    <numFmt numFmtId="223" formatCode="yyyy\-m\-d"/>
    <numFmt numFmtId="224" formatCode="yyyy\-m"/>
    <numFmt numFmtId="225" formatCode="yyyy/m/d;@"/>
    <numFmt numFmtId="226" formatCode="yyyy\-mm"/>
    <numFmt numFmtId="227" formatCode="_ * #,##0.00000_ ;_ * \-#,##0.00000_ ;_ * &quot;-&quot;??_ ;_ @_ "/>
    <numFmt numFmtId="228" formatCode="yyyy&quot;年&quot;m&quot;月&quot;;@"/>
    <numFmt numFmtId="229" formatCode="0;_뀀"/>
  </numFmts>
  <fonts count="149">
    <font>
      <sz val="12"/>
      <name val="Times New Roman"/>
      <family val="1"/>
    </font>
    <font>
      <sz val="12"/>
      <name val="Times New Roman"/>
      <family val="1"/>
    </font>
    <font>
      <sz val="10"/>
      <name val="MS Sans Serif"/>
      <family val="2"/>
    </font>
    <font>
      <sz val="10"/>
      <name val="Arial"/>
      <family val="2"/>
    </font>
    <font>
      <sz val="10"/>
      <name val="Times New Roman"/>
      <family val="1"/>
    </font>
    <font>
      <sz val="12"/>
      <name val="宋体"/>
      <family val="3"/>
      <charset val="134"/>
    </font>
    <font>
      <sz val="9"/>
      <name val="宋体"/>
      <family val="3"/>
      <charset val="134"/>
    </font>
    <font>
      <sz val="10"/>
      <name val="宋体"/>
      <family val="3"/>
      <charset val="134"/>
    </font>
    <font>
      <sz val="8"/>
      <name val="Times New Roman"/>
      <family val="1"/>
    </font>
    <font>
      <sz val="12"/>
      <name val="Times New Roman"/>
      <family val="1"/>
    </font>
    <font>
      <vertAlign val="superscript"/>
      <sz val="10"/>
      <name val="Times New Roman"/>
      <family val="1"/>
    </font>
    <font>
      <b/>
      <sz val="12"/>
      <name val="宋体"/>
      <family val="3"/>
      <charset val="134"/>
    </font>
    <font>
      <b/>
      <sz val="12"/>
      <name val="Times New Roman"/>
      <family val="1"/>
    </font>
    <font>
      <b/>
      <sz val="10"/>
      <name val="宋体"/>
      <family val="3"/>
      <charset val="134"/>
    </font>
    <font>
      <u/>
      <sz val="12"/>
      <color indexed="12"/>
      <name val="宋体"/>
      <family val="3"/>
      <charset val="134"/>
    </font>
    <font>
      <sz val="11"/>
      <name val="ＭＳ Ｐゴシック"/>
      <family val="2"/>
    </font>
    <font>
      <sz val="12"/>
      <name val="바탕체"/>
      <family val="3"/>
    </font>
    <font>
      <sz val="11"/>
      <name val="蹈框"/>
      <family val="2"/>
    </font>
    <font>
      <b/>
      <sz val="10"/>
      <color indexed="10"/>
      <name val="Arial"/>
      <family val="2"/>
    </font>
    <font>
      <b/>
      <sz val="10"/>
      <color indexed="8"/>
      <name val="Arial"/>
      <family val="2"/>
    </font>
    <font>
      <sz val="8"/>
      <name val="Arial"/>
      <family val="2"/>
    </font>
    <font>
      <b/>
      <sz val="12"/>
      <name val="Arial"/>
      <family val="2"/>
    </font>
    <font>
      <sz val="9"/>
      <name val="Times New Roman"/>
      <family val="1"/>
    </font>
    <font>
      <sz val="9"/>
      <color indexed="81"/>
      <name val="宋体"/>
      <family val="3"/>
      <charset val="134"/>
    </font>
    <font>
      <b/>
      <sz val="9"/>
      <color indexed="81"/>
      <name val="宋体"/>
      <family val="3"/>
      <charset val="134"/>
    </font>
    <font>
      <sz val="12"/>
      <color indexed="81"/>
      <name val="宋体"/>
      <family val="3"/>
      <charset val="134"/>
    </font>
    <font>
      <vertAlign val="superscript"/>
      <sz val="12"/>
      <color indexed="81"/>
      <name val="宋体"/>
      <family val="3"/>
      <charset val="134"/>
    </font>
    <font>
      <sz val="9"/>
      <color indexed="81"/>
      <name val="Times New Roman"/>
      <family val="1"/>
    </font>
    <font>
      <sz val="10"/>
      <color indexed="10"/>
      <name val="宋体"/>
      <family val="3"/>
      <charset val="134"/>
    </font>
    <font>
      <sz val="10"/>
      <color indexed="10"/>
      <name val="Times New Roman"/>
      <family val="1"/>
    </font>
    <font>
      <sz val="11"/>
      <name val="宋体"/>
      <family val="3"/>
      <charset val="134"/>
    </font>
    <font>
      <b/>
      <sz val="14"/>
      <name val="宋体"/>
      <family val="3"/>
      <charset val="134"/>
    </font>
    <font>
      <sz val="14"/>
      <name val="宋体"/>
      <family val="3"/>
      <charset val="134"/>
    </font>
    <font>
      <b/>
      <sz val="22"/>
      <name val="华文新魏"/>
      <family val="3"/>
      <charset val="134"/>
    </font>
    <font>
      <sz val="12"/>
      <name val="仿宋_GB2312"/>
      <family val="3"/>
      <charset val="134"/>
    </font>
    <font>
      <sz val="12"/>
      <color indexed="10"/>
      <name val="宋体"/>
      <family val="3"/>
      <charset val="134"/>
    </font>
    <font>
      <u/>
      <sz val="10"/>
      <color indexed="12"/>
      <name val="宋体"/>
      <family val="3"/>
      <charset val="134"/>
    </font>
    <font>
      <sz val="10"/>
      <color indexed="12"/>
      <name val="宋体"/>
      <family val="3"/>
      <charset val="134"/>
    </font>
    <font>
      <sz val="10"/>
      <color indexed="8"/>
      <name val="宋体"/>
      <family val="3"/>
      <charset val="134"/>
    </font>
    <font>
      <sz val="10"/>
      <color indexed="8"/>
      <name val="Times New Roman"/>
      <family val="1"/>
    </font>
    <font>
      <b/>
      <sz val="12"/>
      <name val="黑体"/>
      <family val="3"/>
      <charset val="134"/>
    </font>
    <font>
      <b/>
      <sz val="14"/>
      <name val="黑体"/>
      <family val="3"/>
      <charset val="134"/>
    </font>
    <font>
      <b/>
      <sz val="10"/>
      <name val="MS Sans Serif"/>
      <family val="2"/>
    </font>
    <font>
      <b/>
      <sz val="8"/>
      <name val="Arial"/>
      <family val="2"/>
    </font>
    <font>
      <sz val="12"/>
      <name val="楷体"/>
      <family val="3"/>
      <charset val="134"/>
    </font>
    <font>
      <b/>
      <sz val="16"/>
      <name val="黑体"/>
      <family val="3"/>
      <charset val="134"/>
    </font>
    <font>
      <b/>
      <sz val="10"/>
      <color indexed="10"/>
      <name val="宋体"/>
      <family val="3"/>
      <charset val="134"/>
    </font>
    <font>
      <b/>
      <sz val="16"/>
      <name val="宋体"/>
      <family val="3"/>
      <charset val="134"/>
    </font>
    <font>
      <b/>
      <sz val="16"/>
      <name val="Times New Roman"/>
      <family val="1"/>
    </font>
    <font>
      <b/>
      <sz val="10"/>
      <name val="Times New Roman"/>
      <family val="1"/>
    </font>
    <font>
      <b/>
      <sz val="10"/>
      <color indexed="10"/>
      <name val="Times New Roman"/>
      <family val="1"/>
    </font>
    <font>
      <b/>
      <sz val="26"/>
      <name val="Times New Roman"/>
      <family val="1"/>
    </font>
    <font>
      <sz val="12"/>
      <name val="Times New Roman"/>
      <family val="1"/>
    </font>
    <font>
      <sz val="14"/>
      <name val="Times New Roman"/>
      <family val="1"/>
    </font>
    <font>
      <sz val="12"/>
      <name val="Times New Roman"/>
      <family val="1"/>
    </font>
    <font>
      <sz val="12"/>
      <color indexed="12"/>
      <name val="Times New Roman"/>
      <family val="1"/>
    </font>
    <font>
      <sz val="12"/>
      <name val="Times New Roman"/>
      <family val="1"/>
    </font>
    <font>
      <b/>
      <sz val="14"/>
      <name val="Times New Roman"/>
      <family val="1"/>
    </font>
    <font>
      <sz val="11"/>
      <name val="Times New Roman"/>
      <family val="1"/>
    </font>
    <font>
      <sz val="11"/>
      <color indexed="12"/>
      <name val="Times New Roman"/>
      <family val="1"/>
    </font>
    <font>
      <sz val="18"/>
      <name val="黑体"/>
      <family val="3"/>
      <charset val="134"/>
    </font>
    <font>
      <sz val="18"/>
      <name val="Times New Roman"/>
      <family val="1"/>
    </font>
    <font>
      <sz val="6"/>
      <name val="Times New Roman"/>
      <family val="1"/>
    </font>
    <font>
      <sz val="20"/>
      <name val="黑体"/>
      <family val="3"/>
      <charset val="134"/>
    </font>
    <font>
      <sz val="13"/>
      <name val="宋体"/>
      <family val="3"/>
      <charset val="134"/>
    </font>
    <font>
      <b/>
      <sz val="12"/>
      <color indexed="10"/>
      <name val="仿宋_GB2312"/>
      <family val="3"/>
      <charset val="134"/>
    </font>
    <font>
      <b/>
      <sz val="12"/>
      <color indexed="10"/>
      <name val="Times New Roman"/>
      <family val="1"/>
    </font>
    <font>
      <b/>
      <sz val="20"/>
      <color indexed="10"/>
      <name val="黑体"/>
      <family val="3"/>
      <charset val="134"/>
    </font>
    <font>
      <sz val="12"/>
      <color indexed="12"/>
      <name val="黑体"/>
      <family val="3"/>
      <charset val="134"/>
    </font>
    <font>
      <sz val="12"/>
      <name val="黑体"/>
      <family val="3"/>
      <charset val="134"/>
    </font>
    <font>
      <u/>
      <sz val="10"/>
      <color indexed="12"/>
      <name val="Times New Roman"/>
      <family val="1"/>
    </font>
    <font>
      <b/>
      <sz val="10"/>
      <color indexed="8"/>
      <name val="宋体"/>
      <family val="3"/>
      <charset val="134"/>
    </font>
    <font>
      <sz val="10"/>
      <color indexed="9"/>
      <name val="Times New Roman"/>
      <family val="1"/>
    </font>
    <font>
      <u val="singleAccounting"/>
      <vertAlign val="subscript"/>
      <sz val="10"/>
      <name val="Times New Roman"/>
      <family val="1"/>
    </font>
    <font>
      <i/>
      <sz val="9"/>
      <name val="Times New Roman"/>
      <family val="1"/>
    </font>
    <font>
      <sz val="10"/>
      <color indexed="9"/>
      <name val="宋体"/>
      <family val="3"/>
      <charset val="134"/>
    </font>
    <font>
      <b/>
      <sz val="10"/>
      <name val="Helv"/>
      <family val="2"/>
    </font>
    <font>
      <i/>
      <sz val="12"/>
      <name val="Times New Roman"/>
      <family val="1"/>
    </font>
    <font>
      <sz val="10"/>
      <name val="MS Serif"/>
      <family val="1"/>
    </font>
    <font>
      <sz val="10"/>
      <name val="Courier"/>
      <family val="3"/>
    </font>
    <font>
      <sz val="10"/>
      <color indexed="16"/>
      <name val="MS Serif"/>
      <family val="1"/>
    </font>
    <font>
      <b/>
      <sz val="12"/>
      <name val="Helv"/>
      <family val="2"/>
    </font>
    <font>
      <b/>
      <sz val="13"/>
      <name val="Times New Roman"/>
      <family val="1"/>
    </font>
    <font>
      <b/>
      <i/>
      <sz val="12"/>
      <name val="Times New Roman"/>
      <family val="1"/>
    </font>
    <font>
      <b/>
      <sz val="11"/>
      <name val="Helv"/>
      <family val="2"/>
    </font>
    <font>
      <sz val="7"/>
      <name val="Small Fonts"/>
      <family val="2"/>
    </font>
    <font>
      <sz val="10"/>
      <color indexed="8"/>
      <name val="MS Sans Serif"/>
      <family val="2"/>
    </font>
    <font>
      <sz val="10"/>
      <name val="Tms Rmn"/>
      <family val="1"/>
    </font>
    <font>
      <b/>
      <sz val="14"/>
      <color indexed="9"/>
      <name val="Times New Roman"/>
      <family val="1"/>
    </font>
    <font>
      <b/>
      <sz val="12"/>
      <name val="MS Sans Serif"/>
      <family val="2"/>
    </font>
    <font>
      <sz val="12"/>
      <name val="MS Sans Serif"/>
      <family val="2"/>
    </font>
    <font>
      <b/>
      <sz val="8"/>
      <color indexed="8"/>
      <name val="Helv"/>
      <family val="2"/>
    </font>
    <font>
      <b/>
      <sz val="18"/>
      <color indexed="62"/>
      <name val="宋体"/>
      <family val="3"/>
      <charset val="134"/>
    </font>
    <font>
      <b/>
      <sz val="15"/>
      <color indexed="62"/>
      <name val="宋体"/>
      <family val="3"/>
      <charset val="134"/>
    </font>
    <font>
      <b/>
      <sz val="13"/>
      <color indexed="62"/>
      <name val="宋体"/>
      <family val="3"/>
      <charset val="134"/>
    </font>
    <font>
      <b/>
      <sz val="11"/>
      <color indexed="62"/>
      <name val="宋体"/>
      <family val="3"/>
      <charset val="134"/>
    </font>
    <font>
      <sz val="10"/>
      <color indexed="20"/>
      <name val="宋体"/>
      <family val="3"/>
      <charset val="134"/>
    </font>
    <font>
      <sz val="10"/>
      <color indexed="17"/>
      <name val="宋体"/>
      <family val="3"/>
      <charset val="134"/>
    </font>
    <font>
      <b/>
      <sz val="10"/>
      <color indexed="52"/>
      <name val="宋体"/>
      <family val="3"/>
      <charset val="134"/>
    </font>
    <font>
      <b/>
      <sz val="10"/>
      <color indexed="9"/>
      <name val="宋体"/>
      <family val="3"/>
      <charset val="134"/>
    </font>
    <font>
      <i/>
      <sz val="10"/>
      <color indexed="23"/>
      <name val="宋体"/>
      <family val="3"/>
      <charset val="134"/>
    </font>
    <font>
      <sz val="10"/>
      <color indexed="52"/>
      <name val="宋体"/>
      <family val="3"/>
      <charset val="134"/>
    </font>
    <font>
      <sz val="10"/>
      <color indexed="60"/>
      <name val="宋体"/>
      <family val="3"/>
      <charset val="134"/>
    </font>
    <font>
      <b/>
      <sz val="10"/>
      <color indexed="63"/>
      <name val="宋体"/>
      <family val="3"/>
      <charset val="134"/>
    </font>
    <font>
      <sz val="10"/>
      <color indexed="62"/>
      <name val="宋体"/>
      <family val="3"/>
      <charset val="134"/>
    </font>
    <font>
      <sz val="14"/>
      <name val="黑体"/>
      <family val="3"/>
      <charset val="134"/>
    </font>
    <font>
      <sz val="12"/>
      <name val="Arial"/>
      <family val="2"/>
    </font>
    <font>
      <sz val="9"/>
      <name val="Arial"/>
      <family val="2"/>
    </font>
    <font>
      <b/>
      <sz val="9"/>
      <name val="Times New Roman"/>
      <family val="1"/>
    </font>
    <font>
      <sz val="10"/>
      <name val="宋体"/>
      <family val="3"/>
      <charset val="134"/>
    </font>
    <font>
      <sz val="10"/>
      <color indexed="10"/>
      <name val="宋体"/>
      <family val="3"/>
      <charset val="134"/>
    </font>
    <font>
      <sz val="10"/>
      <name val="宋体"/>
      <family val="3"/>
      <charset val="134"/>
    </font>
    <font>
      <b/>
      <sz val="9"/>
      <name val="宋体"/>
      <family val="3"/>
      <charset val="134"/>
    </font>
    <font>
      <b/>
      <sz val="8"/>
      <name val="Times New Roman"/>
      <family val="1"/>
    </font>
    <font>
      <b/>
      <sz val="8"/>
      <name val="宋体"/>
      <family val="3"/>
      <charset val="134"/>
    </font>
    <font>
      <b/>
      <sz val="10"/>
      <name val="Arial"/>
      <family val="2"/>
    </font>
    <font>
      <sz val="11"/>
      <name val="MS P????"/>
      <family val="3"/>
    </font>
    <font>
      <sz val="10"/>
      <name val="Helv"/>
      <family val="2"/>
    </font>
    <font>
      <sz val="10"/>
      <name val="ＭＳ Ｐゴシック"/>
      <family val="2"/>
    </font>
    <font>
      <u/>
      <sz val="9.9"/>
      <color indexed="36"/>
      <name val="Times New Roman"/>
      <family val="1"/>
    </font>
    <font>
      <u/>
      <sz val="10"/>
      <color indexed="37"/>
      <name val="Times New Roman"/>
      <family val="1"/>
    </font>
    <font>
      <sz val="11"/>
      <color indexed="8"/>
      <name val="ＭＳ Ｐゴシック"/>
      <family val="2"/>
    </font>
    <font>
      <sz val="11"/>
      <color indexed="20"/>
      <name val="宋体"/>
      <family val="3"/>
      <charset val="134"/>
    </font>
    <font>
      <sz val="11"/>
      <color indexed="20"/>
      <name val="Tahoma"/>
      <family val="2"/>
    </font>
    <font>
      <sz val="11"/>
      <color indexed="8"/>
      <name val="宋体"/>
      <family val="3"/>
      <charset val="134"/>
    </font>
    <font>
      <u/>
      <sz val="12"/>
      <color indexed="12"/>
      <name val="Times New Roman"/>
      <family val="1"/>
    </font>
    <font>
      <sz val="11"/>
      <color indexed="17"/>
      <name val="宋体"/>
      <family val="3"/>
      <charset val="134"/>
    </font>
    <font>
      <sz val="11"/>
      <color indexed="17"/>
      <name val="Tahoma"/>
      <family val="2"/>
    </font>
    <font>
      <sz val="10"/>
      <name val="宋体"/>
      <family val="3"/>
      <charset val="134"/>
    </font>
    <font>
      <u/>
      <sz val="12"/>
      <name val="Times New Roman"/>
      <family val="1"/>
    </font>
    <font>
      <u/>
      <sz val="10"/>
      <name val="Times New Roman"/>
      <family val="1"/>
    </font>
    <font>
      <sz val="9"/>
      <name val="宋体"/>
      <family val="3"/>
      <charset val="134"/>
    </font>
    <font>
      <sz val="10"/>
      <name val="宋体"/>
      <family val="3"/>
      <charset val="134"/>
    </font>
    <font>
      <sz val="10"/>
      <name val="Arial Narrow"/>
      <family val="2"/>
    </font>
    <font>
      <b/>
      <sz val="10"/>
      <name val="宋体"/>
      <family val="3"/>
      <charset val="134"/>
    </font>
    <font>
      <sz val="9"/>
      <name val="Arial Narrow"/>
      <family val="2"/>
    </font>
    <font>
      <b/>
      <sz val="9"/>
      <color indexed="81"/>
      <name val="Tahoma"/>
      <family val="2"/>
    </font>
    <font>
      <sz val="9"/>
      <color indexed="81"/>
      <name val="Tahoma"/>
      <family val="2"/>
    </font>
    <font>
      <sz val="10"/>
      <name val="宋体"/>
      <family val="3"/>
      <charset val="134"/>
    </font>
    <font>
      <sz val="10"/>
      <color rgb="FFFF0000"/>
      <name val="Times New Roman"/>
      <family val="1"/>
    </font>
    <font>
      <sz val="10"/>
      <color rgb="FFFF0000"/>
      <name val="宋体"/>
      <family val="3"/>
      <charset val="134"/>
    </font>
    <font>
      <b/>
      <sz val="10"/>
      <color rgb="FFFF0000"/>
      <name val="宋体"/>
      <family val="3"/>
      <charset val="134"/>
    </font>
    <font>
      <sz val="10"/>
      <color theme="1"/>
      <name val="Times New Roman"/>
      <family val="1"/>
    </font>
    <font>
      <sz val="10"/>
      <color theme="1"/>
      <name val="宋体"/>
      <family val="3"/>
      <charset val="134"/>
      <scheme val="minor"/>
    </font>
    <font>
      <b/>
      <sz val="10"/>
      <color rgb="FFFF0000"/>
      <name val="Times New Roman"/>
      <family val="1"/>
    </font>
    <font>
      <sz val="9"/>
      <name val="宋体"/>
      <family val="2"/>
      <charset val="134"/>
      <scheme val="minor"/>
    </font>
    <font>
      <sz val="10"/>
      <color rgb="FF000000"/>
      <name val="Times New Roman"/>
      <family val="1"/>
    </font>
    <font>
      <sz val="10.5"/>
      <color rgb="FF000000"/>
      <name val="Times New Roman"/>
      <family val="1"/>
    </font>
    <font>
      <sz val="9"/>
      <color theme="1"/>
      <name val="宋体"/>
      <family val="2"/>
      <charset val="134"/>
      <scheme val="minor"/>
    </font>
  </fonts>
  <fills count="3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solid">
        <fgColor indexed="15"/>
      </patternFill>
    </fill>
    <fill>
      <patternFill patternType="solid">
        <fgColor indexed="31"/>
        <bgColor indexed="64"/>
      </patternFill>
    </fill>
    <fill>
      <patternFill patternType="solid">
        <fgColor indexed="12"/>
      </patternFill>
    </fill>
    <fill>
      <patternFill patternType="solid">
        <fgColor indexed="54"/>
        <bgColor indexed="64"/>
      </patternFill>
    </fill>
    <fill>
      <patternFill patternType="solid">
        <fgColor indexed="9"/>
        <bgColor indexed="9"/>
      </patternFill>
    </fill>
    <fill>
      <patternFill patternType="solid">
        <fgColor indexed="45"/>
      </patternFill>
    </fill>
    <fill>
      <patternFill patternType="solid">
        <fgColor indexed="42"/>
      </patternFill>
    </fill>
    <fill>
      <patternFill patternType="solid">
        <fgColor indexed="55"/>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41"/>
        <bgColor indexed="64"/>
      </patternFill>
    </fill>
    <fill>
      <patternFill patternType="solid">
        <fgColor indexed="15"/>
        <bgColor indexed="64"/>
      </patternFill>
    </fill>
    <fill>
      <patternFill patternType="solid">
        <fgColor indexed="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top style="double">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272">
    <xf numFmtId="0" fontId="0" fillId="0" borderId="0"/>
    <xf numFmtId="0" fontId="9" fillId="0" borderId="0"/>
    <xf numFmtId="0" fontId="5" fillId="0" borderId="0"/>
    <xf numFmtId="0" fontId="15" fillId="0" borderId="0" applyFont="0" applyFill="0" applyBorder="0" applyAlignment="0" applyProtection="0"/>
    <xf numFmtId="220" fontId="116" fillId="0" borderId="0" applyFont="0" applyFill="0" applyBorder="0" applyAlignment="0" applyProtection="0"/>
    <xf numFmtId="0" fontId="15" fillId="0" borderId="0" applyFont="0" applyFill="0" applyBorder="0" applyAlignment="0" applyProtection="0"/>
    <xf numFmtId="40" fontId="116" fillId="0" borderId="0" applyFont="0" applyFill="0" applyBorder="0" applyAlignment="0" applyProtection="0"/>
    <xf numFmtId="38" fontId="116" fillId="0" borderId="0" applyFont="0" applyFill="0" applyBorder="0" applyAlignment="0" applyProtection="0"/>
    <xf numFmtId="0" fontId="3" fillId="0" borderId="0"/>
    <xf numFmtId="49" fontId="4" fillId="0" borderId="0" applyProtection="0">
      <alignment horizontal="left"/>
    </xf>
    <xf numFmtId="49" fontId="4" fillId="0" borderId="0" applyProtection="0">
      <alignment horizontal="left"/>
    </xf>
    <xf numFmtId="49" fontId="4" fillId="0" borderId="0" applyProtection="0">
      <alignment horizontal="left"/>
    </xf>
    <xf numFmtId="49" fontId="4" fillId="0" borderId="0" applyProtection="0">
      <alignment horizontal="left"/>
    </xf>
    <xf numFmtId="49" fontId="4" fillId="0" borderId="0" applyProtection="0">
      <alignment horizontal="left"/>
    </xf>
    <xf numFmtId="49" fontId="4" fillId="0" borderId="0" applyProtection="0">
      <alignment horizontal="left"/>
    </xf>
    <xf numFmtId="49" fontId="4" fillId="0" borderId="0" applyProtection="0">
      <alignment horizontal="left"/>
    </xf>
    <xf numFmtId="0" fontId="3" fillId="0" borderId="0">
      <protection locked="0"/>
    </xf>
    <xf numFmtId="0" fontId="1" fillId="0" borderId="0"/>
    <xf numFmtId="0" fontId="1" fillId="0" borderId="0"/>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protection locked="0"/>
    </xf>
    <xf numFmtId="0" fontId="3" fillId="0" borderId="0">
      <protection locked="0"/>
    </xf>
    <xf numFmtId="0" fontId="3" fillId="0" borderId="0">
      <protection locked="0"/>
    </xf>
    <xf numFmtId="0" fontId="3" fillId="0" borderId="0" applyNumberFormat="0" applyFill="0" applyBorder="0" applyAlignment="0" applyProtection="0"/>
    <xf numFmtId="0" fontId="3" fillId="0" borderId="0">
      <protection locked="0"/>
    </xf>
    <xf numFmtId="0" fontId="3" fillId="0" borderId="0">
      <protection locked="0"/>
    </xf>
    <xf numFmtId="0" fontId="117" fillId="0" borderId="0"/>
    <xf numFmtId="0" fontId="117"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protection locked="0"/>
    </xf>
    <xf numFmtId="0" fontId="3" fillId="0" borderId="0"/>
    <xf numFmtId="0" fontId="117" fillId="0" borderId="0"/>
    <xf numFmtId="196" fontId="4" fillId="0" borderId="0" applyFill="0" applyBorder="0" applyProtection="0">
      <alignment horizontal="right"/>
    </xf>
    <xf numFmtId="197" fontId="4" fillId="0" borderId="0" applyFill="0" applyBorder="0" applyProtection="0">
      <alignment horizontal="right"/>
    </xf>
    <xf numFmtId="195" fontId="73" fillId="0" borderId="0" applyFill="0" applyBorder="0" applyProtection="0">
      <alignment horizontal="center"/>
    </xf>
    <xf numFmtId="194" fontId="73" fillId="0" borderId="0" applyFill="0" applyBorder="0" applyProtection="0">
      <alignment horizontal="center"/>
    </xf>
    <xf numFmtId="198" fontId="74" fillId="0" borderId="0" applyFill="0" applyBorder="0" applyProtection="0">
      <alignment horizontal="right"/>
    </xf>
    <xf numFmtId="199" fontId="4" fillId="0" borderId="0" applyFill="0" applyBorder="0" applyProtection="0">
      <alignment horizontal="right"/>
    </xf>
    <xf numFmtId="200" fontId="4" fillId="0" borderId="0" applyFill="0" applyBorder="0" applyProtection="0">
      <alignment horizontal="right"/>
    </xf>
    <xf numFmtId="205" fontId="4" fillId="0" borderId="0" applyFill="0" applyBorder="0" applyProtection="0">
      <alignment horizontal="right"/>
    </xf>
    <xf numFmtId="204" fontId="4" fillId="0" borderId="0" applyFill="0" applyBorder="0" applyProtection="0">
      <alignment horizontal="right"/>
    </xf>
    <xf numFmtId="0" fontId="3" fillId="0" borderId="0"/>
    <xf numFmtId="0" fontId="1" fillId="0" borderId="0"/>
    <xf numFmtId="0" fontId="38" fillId="2" borderId="0" applyNumberFormat="0" applyBorder="0" applyAlignment="0" applyProtection="0">
      <alignment vertical="center"/>
    </xf>
    <xf numFmtId="0" fontId="38" fillId="3" borderId="0" applyNumberFormat="0" applyBorder="0" applyAlignment="0" applyProtection="0">
      <alignment vertical="center"/>
    </xf>
    <xf numFmtId="0" fontId="38" fillId="4" borderId="0" applyNumberFormat="0" applyBorder="0" applyAlignment="0" applyProtection="0">
      <alignment vertical="center"/>
    </xf>
    <xf numFmtId="0" fontId="38" fillId="2" borderId="0" applyNumberFormat="0" applyBorder="0" applyAlignment="0" applyProtection="0">
      <alignment vertical="center"/>
    </xf>
    <xf numFmtId="0" fontId="38" fillId="5" borderId="0" applyNumberFormat="0" applyBorder="0" applyAlignment="0" applyProtection="0">
      <alignment vertical="center"/>
    </xf>
    <xf numFmtId="0" fontId="38" fillId="3" borderId="0" applyNumberFormat="0" applyBorder="0" applyAlignment="0" applyProtection="0">
      <alignment vertical="center"/>
    </xf>
    <xf numFmtId="0" fontId="38" fillId="6"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0" fontId="38" fillId="6" borderId="0" applyNumberFormat="0" applyBorder="0" applyAlignment="0" applyProtection="0">
      <alignment vertical="center"/>
    </xf>
    <xf numFmtId="0" fontId="38" fillId="9" borderId="0" applyNumberFormat="0" applyBorder="0" applyAlignment="0" applyProtection="0">
      <alignment vertical="center"/>
    </xf>
    <xf numFmtId="0" fontId="38" fillId="3" borderId="0" applyNumberFormat="0" applyBorder="0" applyAlignment="0" applyProtection="0">
      <alignment vertical="center"/>
    </xf>
    <xf numFmtId="0" fontId="75" fillId="10" borderId="0" applyNumberFormat="0" applyBorder="0" applyAlignment="0" applyProtection="0">
      <alignment vertical="center"/>
    </xf>
    <xf numFmtId="0" fontId="75" fillId="7" borderId="0" applyNumberFormat="0" applyBorder="0" applyAlignment="0" applyProtection="0">
      <alignment vertical="center"/>
    </xf>
    <xf numFmtId="0" fontId="75" fillId="8" borderId="0" applyNumberFormat="0" applyBorder="0" applyAlignment="0" applyProtection="0">
      <alignment vertical="center"/>
    </xf>
    <xf numFmtId="0" fontId="75" fillId="6" borderId="0" applyNumberFormat="0" applyBorder="0" applyAlignment="0" applyProtection="0">
      <alignment vertical="center"/>
    </xf>
    <xf numFmtId="0" fontId="75" fillId="10" borderId="0" applyNumberFormat="0" applyBorder="0" applyAlignment="0" applyProtection="0">
      <alignment vertical="center"/>
    </xf>
    <xf numFmtId="0" fontId="75" fillId="3" borderId="0" applyNumberFormat="0" applyBorder="0" applyAlignment="0" applyProtection="0">
      <alignment vertical="center"/>
    </xf>
    <xf numFmtId="0" fontId="8" fillId="0" borderId="0">
      <alignment horizontal="center" wrapText="1"/>
      <protection locked="0"/>
    </xf>
    <xf numFmtId="202" fontId="1" fillId="0" borderId="0" applyFill="0" applyBorder="0" applyAlignment="0"/>
    <xf numFmtId="0" fontId="76" fillId="0" borderId="0"/>
    <xf numFmtId="0" fontId="77" fillId="0" borderId="0" applyFill="0" applyBorder="0">
      <alignment horizontal="right"/>
    </xf>
    <xf numFmtId="0" fontId="1" fillId="0" borderId="0" applyFill="0" applyBorder="0">
      <alignment horizontal="right"/>
    </xf>
    <xf numFmtId="0" fontId="43" fillId="0" borderId="1">
      <alignment horizontal="center"/>
    </xf>
    <xf numFmtId="214" fontId="3" fillId="0" borderId="0"/>
    <xf numFmtId="214" fontId="3" fillId="0" borderId="0"/>
    <xf numFmtId="214" fontId="3" fillId="0" borderId="0"/>
    <xf numFmtId="214" fontId="3" fillId="0" borderId="0"/>
    <xf numFmtId="214" fontId="3" fillId="0" borderId="0"/>
    <xf numFmtId="214" fontId="3" fillId="0" borderId="0"/>
    <xf numFmtId="214" fontId="3" fillId="0" borderId="0"/>
    <xf numFmtId="214" fontId="3" fillId="0" borderId="0"/>
    <xf numFmtId="207" fontId="3" fillId="0" borderId="0" applyFont="0" applyFill="0" applyBorder="0" applyAlignment="0" applyProtection="0"/>
    <xf numFmtId="37" fontId="118" fillId="0" borderId="0" applyFont="0" applyFill="0" applyBorder="0" applyAlignment="0" applyProtection="0"/>
    <xf numFmtId="39" fontId="118" fillId="0" borderId="0" applyFont="0" applyFill="0" applyBorder="0" applyAlignment="0" applyProtection="0"/>
    <xf numFmtId="193" fontId="3" fillId="0" borderId="0" applyFont="0" applyFill="0" applyBorder="0" applyAlignment="0" applyProtection="0"/>
    <xf numFmtId="192" fontId="4" fillId="0" borderId="0"/>
    <xf numFmtId="0" fontId="78" fillId="0" borderId="0" applyNumberFormat="0" applyAlignment="0">
      <alignment horizontal="left"/>
    </xf>
    <xf numFmtId="0" fontId="79" fillId="0" borderId="0" applyNumberFormat="0" applyAlignment="0"/>
    <xf numFmtId="42" fontId="5" fillId="0" borderId="0" applyFont="0" applyFill="0" applyBorder="0" applyAlignment="0" applyProtection="0"/>
    <xf numFmtId="24" fontId="118" fillId="0" borderId="0" applyFont="0" applyFill="0" applyBorder="0" applyAlignment="0" applyProtection="0"/>
    <xf numFmtId="25" fontId="118" fillId="0" borderId="0" applyFont="0" applyFill="0" applyBorder="0" applyAlignment="0" applyProtection="0"/>
    <xf numFmtId="221" fontId="118" fillId="0" borderId="0" applyFont="0" applyFill="0" applyBorder="0" applyAlignment="0" applyProtection="0"/>
    <xf numFmtId="208" fontId="5" fillId="0" borderId="0" applyFont="0" applyFill="0" applyBorder="0" applyAlignment="0" applyProtection="0"/>
    <xf numFmtId="15" fontId="2" fillId="0" borderId="0"/>
    <xf numFmtId="0" fontId="80" fillId="0" borderId="0" applyNumberFormat="0" applyAlignment="0">
      <alignment horizontal="left"/>
    </xf>
    <xf numFmtId="0" fontId="20" fillId="11" borderId="2"/>
    <xf numFmtId="201" fontId="4" fillId="0" borderId="0" applyFont="0" applyFill="0" applyBorder="0" applyAlignment="0" applyProtection="0"/>
    <xf numFmtId="0" fontId="9" fillId="0" borderId="0" applyNumberFormat="0" applyFill="0" applyBorder="0" applyAlignment="0" applyProtection="0"/>
    <xf numFmtId="0" fontId="3" fillId="0" borderId="0">
      <protection locked="0"/>
    </xf>
    <xf numFmtId="0" fontId="119" fillId="0" borderId="0" applyNumberFormat="0" applyFill="0" applyBorder="0" applyAlignment="0" applyProtection="0">
      <alignment vertical="top"/>
      <protection locked="0"/>
    </xf>
    <xf numFmtId="203" fontId="58" fillId="0" borderId="0">
      <alignment horizontal="right"/>
    </xf>
    <xf numFmtId="0" fontId="3" fillId="0" borderId="0"/>
    <xf numFmtId="38" fontId="20" fillId="12" borderId="0" applyNumberFormat="0" applyBorder="0" applyAlignment="0" applyProtection="0"/>
    <xf numFmtId="0" fontId="81" fillId="0" borderId="0">
      <alignment horizontal="left"/>
    </xf>
    <xf numFmtId="0" fontId="21" fillId="0" borderId="3" applyNumberFormat="0" applyAlignment="0" applyProtection="0">
      <alignment horizontal="left" vertical="center"/>
    </xf>
    <xf numFmtId="0" fontId="21" fillId="0" borderId="4">
      <alignment horizontal="left" vertical="center"/>
    </xf>
    <xf numFmtId="0" fontId="115" fillId="0" borderId="0" applyNumberFormat="0" applyFill="0"/>
    <xf numFmtId="0" fontId="43" fillId="0" borderId="4" applyNumberFormat="0">
      <alignment horizontal="right" wrapText="1"/>
    </xf>
    <xf numFmtId="0" fontId="120" fillId="0" borderId="0" applyNumberFormat="0" applyFill="0" applyBorder="0" applyAlignment="0" applyProtection="0">
      <alignment vertical="top"/>
      <protection locked="0"/>
    </xf>
    <xf numFmtId="10" fontId="20" fillId="13" borderId="2" applyNumberFormat="0" applyBorder="0" applyAlignment="0" applyProtection="0"/>
    <xf numFmtId="209" fontId="5" fillId="14" borderId="0"/>
    <xf numFmtId="0" fontId="77" fillId="15" borderId="0" applyNumberFormat="0" applyFont="0" applyBorder="0" applyAlignment="0" applyProtection="0">
      <alignment horizontal="right"/>
    </xf>
    <xf numFmtId="38" fontId="61" fillId="0" borderId="0"/>
    <xf numFmtId="38" fontId="82" fillId="0" borderId="0"/>
    <xf numFmtId="38" fontId="83" fillId="0" borderId="0"/>
    <xf numFmtId="38" fontId="77" fillId="0" borderId="0"/>
    <xf numFmtId="0" fontId="58" fillId="0" borderId="0"/>
    <xf numFmtId="0" fontId="58" fillId="0" borderId="0"/>
    <xf numFmtId="0" fontId="1" fillId="0" borderId="0" applyFont="0" applyFill="0">
      <alignment horizontal="fill"/>
    </xf>
    <xf numFmtId="209" fontId="5" fillId="16" borderId="0"/>
    <xf numFmtId="212" fontId="5" fillId="0" borderId="0" applyFont="0" applyFill="0" applyBorder="0" applyAlignment="0" applyProtection="0"/>
    <xf numFmtId="213" fontId="5" fillId="0" borderId="0" applyFont="0" applyFill="0" applyBorder="0" applyAlignment="0" applyProtection="0"/>
    <xf numFmtId="0" fontId="84" fillId="0" borderId="5"/>
    <xf numFmtId="211" fontId="5" fillId="0" borderId="0" applyFont="0" applyFill="0" applyBorder="0" applyAlignment="0" applyProtection="0"/>
    <xf numFmtId="206" fontId="5" fillId="0" borderId="0" applyFont="0" applyFill="0" applyBorder="0" applyAlignment="0" applyProtection="0"/>
    <xf numFmtId="0" fontId="4" fillId="0" borderId="0"/>
    <xf numFmtId="37" fontId="85" fillId="0" borderId="0"/>
    <xf numFmtId="39" fontId="5" fillId="0" borderId="0"/>
    <xf numFmtId="0" fontId="2" fillId="0" borderId="0"/>
    <xf numFmtId="0" fontId="4" fillId="0" borderId="0"/>
    <xf numFmtId="0" fontId="4" fillId="0" borderId="0"/>
    <xf numFmtId="0" fontId="4" fillId="0" borderId="0"/>
    <xf numFmtId="0" fontId="86" fillId="0" borderId="0"/>
    <xf numFmtId="193" fontId="3" fillId="0" borderId="0" applyFont="0" applyFill="0" applyBorder="0" applyAlignment="0" applyProtection="0"/>
    <xf numFmtId="207" fontId="3" fillId="0" borderId="0" applyFont="0" applyFill="0" applyBorder="0" applyAlignment="0" applyProtection="0"/>
    <xf numFmtId="14" fontId="8" fillId="0" borderId="0">
      <alignment horizontal="center" wrapText="1"/>
      <protection locked="0"/>
    </xf>
    <xf numFmtId="9" fontId="4" fillId="0" borderId="0" applyFont="0" applyFill="0" applyBorder="0" applyAlignment="0" applyProtection="0"/>
    <xf numFmtId="10" fontId="4" fillId="0" borderId="0" applyFont="0" applyFill="0" applyBorder="0" applyAlignment="0" applyProtection="0"/>
    <xf numFmtId="10" fontId="3" fillId="0" borderId="0" applyFont="0" applyFill="0" applyBorder="0" applyAlignment="0" applyProtection="0"/>
    <xf numFmtId="9" fontId="118" fillId="0" borderId="0" applyFont="0" applyFill="0" applyBorder="0" applyAlignment="0" applyProtection="0"/>
    <xf numFmtId="10" fontId="118" fillId="0" borderId="0" applyFont="0" applyFill="0" applyBorder="0" applyAlignment="0" applyProtection="0"/>
    <xf numFmtId="9" fontId="4" fillId="0" borderId="0" applyFont="0" applyFill="0" applyBorder="0" applyAlignment="0" applyProtection="0"/>
    <xf numFmtId="0" fontId="20" fillId="12" borderId="2"/>
    <xf numFmtId="208" fontId="87" fillId="0" borderId="0"/>
    <xf numFmtId="0" fontId="2" fillId="0" borderId="0" applyNumberFormat="0" applyFont="0" applyFill="0" applyBorder="0" applyAlignment="0" applyProtection="0">
      <alignment horizontal="left"/>
    </xf>
    <xf numFmtId="210" fontId="5" fillId="0" borderId="0" applyNumberFormat="0" applyFill="0" applyBorder="0" applyAlignment="0" applyProtection="0">
      <alignment horizontal="left"/>
    </xf>
    <xf numFmtId="0" fontId="88" fillId="17" borderId="0" applyNumberFormat="0"/>
    <xf numFmtId="0" fontId="89" fillId="0" borderId="2">
      <alignment horizontal="center"/>
    </xf>
    <xf numFmtId="0" fontId="89" fillId="0" borderId="0">
      <alignment horizontal="center" vertical="center"/>
    </xf>
    <xf numFmtId="0" fontId="90" fillId="18" borderId="0" applyNumberFormat="0" applyFill="0">
      <alignment horizontal="left" vertical="center"/>
    </xf>
    <xf numFmtId="0" fontId="84" fillId="0" borderId="0"/>
    <xf numFmtId="40" fontId="91" fillId="0" borderId="0" applyBorder="0">
      <alignment horizontal="right"/>
    </xf>
    <xf numFmtId="222" fontId="3" fillId="0" borderId="0" applyFont="0" applyFill="0" applyBorder="0" applyAlignment="0" applyProtection="0"/>
    <xf numFmtId="9" fontId="59" fillId="0" borderId="0" applyNumberFormat="0" applyFill="0" applyBorder="0" applyAlignment="0">
      <protection locked="0"/>
    </xf>
    <xf numFmtId="9" fontId="1"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0" fontId="92" fillId="0" borderId="0" applyNumberFormat="0" applyFill="0" applyBorder="0" applyAlignment="0" applyProtection="0">
      <alignment vertical="center"/>
    </xf>
    <xf numFmtId="0" fontId="93" fillId="0" borderId="6" applyNumberFormat="0" applyFill="0" applyAlignment="0" applyProtection="0">
      <alignment vertical="center"/>
    </xf>
    <xf numFmtId="0" fontId="94" fillId="0" borderId="7" applyNumberFormat="0" applyFill="0" applyAlignment="0" applyProtection="0">
      <alignment vertical="center"/>
    </xf>
    <xf numFmtId="0" fontId="95" fillId="0" borderId="8" applyNumberFormat="0" applyFill="0" applyAlignment="0" applyProtection="0">
      <alignment vertical="center"/>
    </xf>
    <xf numFmtId="0" fontId="95" fillId="0" borderId="0" applyNumberFormat="0" applyFill="0" applyBorder="0" applyAlignment="0" applyProtection="0">
      <alignment vertical="center"/>
    </xf>
    <xf numFmtId="0" fontId="121" fillId="0" borderId="0"/>
    <xf numFmtId="0" fontId="96" fillId="19" borderId="0" applyNumberFormat="0" applyBorder="0" applyAlignment="0" applyProtection="0">
      <alignment vertical="center"/>
    </xf>
    <xf numFmtId="0" fontId="96" fillId="19" borderId="0" applyNumberFormat="0" applyBorder="0" applyAlignment="0" applyProtection="0">
      <alignment vertical="center"/>
    </xf>
    <xf numFmtId="0" fontId="122" fillId="19" borderId="0" applyNumberFormat="0" applyBorder="0" applyAlignment="0" applyProtection="0">
      <alignment vertical="center"/>
    </xf>
    <xf numFmtId="0" fontId="123" fillId="19" borderId="0" applyNumberFormat="0" applyBorder="0" applyAlignment="0" applyProtection="0">
      <alignment vertical="center"/>
    </xf>
    <xf numFmtId="0" fontId="122" fillId="19" borderId="0" applyNumberFormat="0" applyBorder="0" applyAlignment="0" applyProtection="0">
      <alignment vertical="center"/>
    </xf>
    <xf numFmtId="0" fontId="122" fillId="19" borderId="0" applyNumberFormat="0" applyBorder="0" applyAlignment="0" applyProtection="0">
      <alignment vertical="center"/>
    </xf>
    <xf numFmtId="0" fontId="122" fillId="19" borderId="0" applyNumberFormat="0" applyBorder="0" applyAlignment="0" applyProtection="0">
      <alignment vertical="center"/>
    </xf>
    <xf numFmtId="0" fontId="9" fillId="0" borderId="0"/>
    <xf numFmtId="0" fontId="9" fillId="0" borderId="0" applyNumberFormat="0" applyFill="0" applyBorder="0" applyAlignment="0" applyProtection="0"/>
    <xf numFmtId="0" fontId="5" fillId="0" borderId="0"/>
    <xf numFmtId="0" fontId="9" fillId="0" borderId="0"/>
    <xf numFmtId="0" fontId="124" fillId="0" borderId="0">
      <alignment vertical="center"/>
    </xf>
    <xf numFmtId="0" fontId="5" fillId="0" borderId="0" applyNumberFormat="0" applyFill="0" applyBorder="0" applyAlignment="0" applyProtection="0"/>
    <xf numFmtId="0" fontId="84" fillId="0" borderId="0"/>
    <xf numFmtId="0" fontId="1" fillId="0" borderId="0"/>
    <xf numFmtId="0" fontId="3" fillId="0" borderId="0" applyNumberFormat="0" applyFill="0" applyBorder="0" applyAlignment="0" applyProtection="0"/>
    <xf numFmtId="0" fontId="5" fillId="0" borderId="0"/>
    <xf numFmtId="0" fontId="5" fillId="0" borderId="0"/>
    <xf numFmtId="0" fontId="1" fillId="0" borderId="0"/>
    <xf numFmtId="0" fontId="9" fillId="0" borderId="0"/>
    <xf numFmtId="0" fontId="5" fillId="0" borderId="0"/>
    <xf numFmtId="0" fontId="5" fillId="0" borderId="0">
      <alignment vertical="center"/>
    </xf>
    <xf numFmtId="0" fontId="1" fillId="0" borderId="0"/>
    <xf numFmtId="0" fontId="1" fillId="0" borderId="0"/>
    <xf numFmtId="0" fontId="3" fillId="0" borderId="0"/>
    <xf numFmtId="0" fontId="5" fillId="0" borderId="0"/>
    <xf numFmtId="0" fontId="5" fillId="0" borderId="0"/>
    <xf numFmtId="0" fontId="5" fillId="0" borderId="0"/>
    <xf numFmtId="0" fontId="9" fillId="0" borderId="0"/>
    <xf numFmtId="0" fontId="5" fillId="0" borderId="0"/>
    <xf numFmtId="0" fontId="9" fillId="0" borderId="0" applyNumberFormat="0" applyFill="0" applyBorder="0" applyAlignment="0" applyProtection="0"/>
    <xf numFmtId="0" fontId="3" fillId="0" borderId="0" applyNumberFormat="0" applyFill="0" applyBorder="0" applyAlignment="0" applyProtection="0"/>
    <xf numFmtId="0" fontId="5" fillId="0" borderId="0"/>
    <xf numFmtId="0" fontId="5" fillId="0" borderId="0"/>
    <xf numFmtId="0" fontId="5" fillId="0" borderId="0"/>
    <xf numFmtId="0" fontId="1" fillId="0" borderId="0"/>
    <xf numFmtId="0" fontId="1" fillId="0" borderId="0" applyNumberFormat="0" applyFill="0" applyBorder="0" applyAlignment="0" applyProtection="0"/>
    <xf numFmtId="0" fontId="12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2" fillId="0" borderId="0" applyNumberFormat="0" applyFill="0" applyBorder="0" applyAlignment="0" applyProtection="0"/>
    <xf numFmtId="0" fontId="7" fillId="0" borderId="0" applyFill="0" applyBorder="0" applyAlignment="0"/>
    <xf numFmtId="0" fontId="97" fillId="20" borderId="0" applyNumberFormat="0" applyBorder="0" applyAlignment="0" applyProtection="0">
      <alignment vertical="center"/>
    </xf>
    <xf numFmtId="0" fontId="97" fillId="20" borderId="0" applyNumberFormat="0" applyBorder="0" applyAlignment="0" applyProtection="0">
      <alignment vertical="center"/>
    </xf>
    <xf numFmtId="0" fontId="126" fillId="20" borderId="0" applyNumberFormat="0" applyBorder="0" applyAlignment="0" applyProtection="0">
      <alignment vertical="center"/>
    </xf>
    <xf numFmtId="0" fontId="127" fillId="20" borderId="0" applyNumberFormat="0" applyBorder="0" applyAlignment="0" applyProtection="0">
      <alignment vertical="center"/>
    </xf>
    <xf numFmtId="0" fontId="126" fillId="20" borderId="0" applyNumberFormat="0" applyBorder="0" applyAlignment="0" applyProtection="0">
      <alignment vertical="center"/>
    </xf>
    <xf numFmtId="0" fontId="126" fillId="20" borderId="0" applyNumberFormat="0" applyBorder="0" applyAlignment="0" applyProtection="0">
      <alignment vertical="center"/>
    </xf>
    <xf numFmtId="0" fontId="126" fillId="20" borderId="0" applyNumberFormat="0" applyBorder="0" applyAlignment="0" applyProtection="0">
      <alignment vertical="center"/>
    </xf>
    <xf numFmtId="0" fontId="71" fillId="0" borderId="9" applyNumberFormat="0" applyFill="0" applyAlignment="0" applyProtection="0">
      <alignment vertical="center"/>
    </xf>
    <xf numFmtId="0" fontId="98" fillId="2" borderId="10" applyNumberFormat="0" applyAlignment="0" applyProtection="0">
      <alignment vertical="center"/>
    </xf>
    <xf numFmtId="0" fontId="99" fillId="21" borderId="11" applyNumberFormat="0" applyAlignment="0" applyProtection="0">
      <alignment vertical="center"/>
    </xf>
    <xf numFmtId="0" fontId="10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01" fillId="0" borderId="12" applyNumberFormat="0" applyFill="0" applyAlignment="0" applyProtection="0">
      <alignment vertical="center"/>
    </xf>
    <xf numFmtId="177" fontId="5" fillId="0" borderId="0" applyFont="0" applyFill="0" applyBorder="0" applyAlignment="0" applyProtection="0"/>
    <xf numFmtId="179" fontId="5" fillId="0" borderId="0" applyFont="0" applyFill="0" applyBorder="0" applyAlignment="0" applyProtection="0"/>
    <xf numFmtId="176" fontId="5" fillId="0" borderId="0" applyFont="0" applyFill="0" applyBorder="0" applyAlignment="0" applyProtection="0"/>
    <xf numFmtId="178" fontId="5" fillId="0" borderId="0" applyFont="0" applyFill="0" applyBorder="0" applyAlignment="0" applyProtection="0"/>
    <xf numFmtId="0" fontId="4" fillId="0" borderId="0"/>
    <xf numFmtId="0" fontId="44" fillId="0" borderId="0"/>
    <xf numFmtId="41" fontId="4" fillId="0" borderId="0" applyFont="0" applyFill="0" applyBorder="0" applyAlignment="0" applyProtection="0"/>
    <xf numFmtId="43" fontId="4" fillId="0" borderId="0" applyFont="0" applyFill="0" applyBorder="0" applyAlignment="0" applyProtection="0"/>
    <xf numFmtId="189"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5" fillId="0" borderId="0" applyFont="0" applyFill="0" applyBorder="0" applyAlignment="0" applyProtection="0"/>
    <xf numFmtId="0" fontId="17" fillId="0" borderId="0"/>
    <xf numFmtId="0" fontId="75" fillId="10" borderId="0" applyNumberFormat="0" applyBorder="0" applyAlignment="0" applyProtection="0">
      <alignment vertical="center"/>
    </xf>
    <xf numFmtId="0" fontId="75" fillId="22" borderId="0" applyNumberFormat="0" applyBorder="0" applyAlignment="0" applyProtection="0">
      <alignment vertical="center"/>
    </xf>
    <xf numFmtId="0" fontId="75" fillId="23" borderId="0" applyNumberFormat="0" applyBorder="0" applyAlignment="0" applyProtection="0">
      <alignment vertical="center"/>
    </xf>
    <xf numFmtId="0" fontId="75" fillId="24" borderId="0" applyNumberFormat="0" applyBorder="0" applyAlignment="0" applyProtection="0">
      <alignment vertical="center"/>
    </xf>
    <xf numFmtId="0" fontId="75" fillId="10" borderId="0" applyNumberFormat="0" applyBorder="0" applyAlignment="0" applyProtection="0">
      <alignment vertical="center"/>
    </xf>
    <xf numFmtId="0" fontId="75" fillId="25" borderId="0" applyNumberFormat="0" applyBorder="0" applyAlignment="0" applyProtection="0">
      <alignment vertical="center"/>
    </xf>
    <xf numFmtId="0" fontId="102" fillId="8" borderId="0" applyNumberFormat="0" applyBorder="0" applyAlignment="0" applyProtection="0">
      <alignment vertical="center"/>
    </xf>
    <xf numFmtId="0" fontId="103" fillId="2" borderId="13" applyNumberFormat="0" applyAlignment="0" applyProtection="0">
      <alignment vertical="center"/>
    </xf>
    <xf numFmtId="0" fontId="104" fillId="3" borderId="10" applyNumberFormat="0" applyAlignment="0" applyProtection="0">
      <alignment vertical="center"/>
    </xf>
    <xf numFmtId="0" fontId="3" fillId="0" borderId="0" applyNumberFormat="0" applyFill="0" applyBorder="0" applyAlignment="0" applyProtection="0"/>
    <xf numFmtId="0" fontId="9" fillId="0" borderId="0"/>
    <xf numFmtId="0" fontId="1" fillId="4" borderId="14" applyNumberFormat="0" applyFont="0" applyAlignment="0" applyProtection="0">
      <alignment vertical="center"/>
    </xf>
    <xf numFmtId="193" fontId="3" fillId="0" borderId="2" applyNumberFormat="0"/>
    <xf numFmtId="38" fontId="15" fillId="0" borderId="0" applyFont="0" applyFill="0" applyBorder="0" applyAlignment="0" applyProtection="0"/>
    <xf numFmtId="4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6" fillId="0" borderId="0"/>
    <xf numFmtId="0" fontId="3" fillId="0" borderId="0"/>
    <xf numFmtId="0" fontId="148" fillId="0" borderId="0"/>
  </cellStyleXfs>
  <cellXfs count="1000">
    <xf numFmtId="0" fontId="0" fillId="0" borderId="0" xfId="0"/>
    <xf numFmtId="0" fontId="4"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vertical="center"/>
    </xf>
    <xf numFmtId="0" fontId="4" fillId="0" borderId="0" xfId="0" applyFont="1" applyAlignment="1">
      <alignment vertical="center"/>
    </xf>
    <xf numFmtId="0" fontId="7" fillId="26" borderId="0" xfId="270" applyFont="1" applyFill="1"/>
    <xf numFmtId="0" fontId="3" fillId="0" borderId="0" xfId="270"/>
    <xf numFmtId="0" fontId="3" fillId="26" borderId="0" xfId="270" applyFill="1"/>
    <xf numFmtId="0" fontId="3" fillId="27" borderId="15" xfId="270" applyFill="1" applyBorder="1"/>
    <xf numFmtId="0" fontId="18" fillId="28" borderId="16" xfId="270" applyFont="1" applyFill="1" applyBorder="1" applyAlignment="1">
      <alignment horizontal="center"/>
    </xf>
    <xf numFmtId="0" fontId="19" fillId="11" borderId="17" xfId="270" applyFont="1" applyFill="1" applyBorder="1" applyAlignment="1">
      <alignment horizontal="center"/>
    </xf>
    <xf numFmtId="0" fontId="18" fillId="28" borderId="17" xfId="270" applyFont="1" applyFill="1" applyBorder="1" applyAlignment="1">
      <alignment horizontal="center"/>
    </xf>
    <xf numFmtId="0" fontId="18" fillId="28" borderId="18" xfId="270" applyFont="1" applyFill="1" applyBorder="1" applyAlignment="1">
      <alignment horizontal="center"/>
    </xf>
    <xf numFmtId="0" fontId="3" fillId="27" borderId="1" xfId="270" applyFill="1" applyBorder="1"/>
    <xf numFmtId="0" fontId="3" fillId="27" borderId="19" xfId="270" applyFill="1" applyBorder="1"/>
    <xf numFmtId="0" fontId="4" fillId="29" borderId="2" xfId="0" applyFont="1" applyFill="1" applyBorder="1" applyAlignment="1">
      <alignment horizontal="center" vertical="center"/>
    </xf>
    <xf numFmtId="49" fontId="36" fillId="0" borderId="0" xfId="219" applyNumberFormat="1" applyFont="1" applyBorder="1" applyAlignment="1" applyProtection="1">
      <alignment vertical="center"/>
    </xf>
    <xf numFmtId="49" fontId="7" fillId="0" borderId="0" xfId="210" applyNumberFormat="1" applyFont="1" applyBorder="1" applyAlignment="1">
      <alignment horizontal="center" vertical="center"/>
    </xf>
    <xf numFmtId="49" fontId="7" fillId="0" borderId="0" xfId="210" applyNumberFormat="1" applyFont="1" applyBorder="1" applyAlignment="1">
      <alignment horizontal="center" vertical="top"/>
    </xf>
    <xf numFmtId="49" fontId="7" fillId="0" borderId="0" xfId="210" applyNumberFormat="1" applyFont="1" applyBorder="1" applyAlignment="1">
      <alignment vertical="center"/>
    </xf>
    <xf numFmtId="49" fontId="37" fillId="0" borderId="0" xfId="219" applyNumberFormat="1" applyFont="1" applyBorder="1" applyAlignment="1" applyProtection="1">
      <alignment vertical="center"/>
    </xf>
    <xf numFmtId="49" fontId="31" fillId="0" borderId="0" xfId="246" applyNumberFormat="1" applyFont="1" applyBorder="1" applyAlignment="1">
      <alignment horizontal="centerContinuous" vertical="center"/>
    </xf>
    <xf numFmtId="49" fontId="31" fillId="0" borderId="0" xfId="210" applyNumberFormat="1" applyFont="1" applyBorder="1" applyAlignment="1">
      <alignment horizontal="centerContinuous" vertical="center"/>
    </xf>
    <xf numFmtId="49" fontId="32" fillId="0" borderId="0" xfId="210" applyNumberFormat="1" applyFont="1" applyBorder="1" applyAlignment="1">
      <alignment vertical="center"/>
    </xf>
    <xf numFmtId="0" fontId="0" fillId="0" borderId="0" xfId="0" applyBorder="1"/>
    <xf numFmtId="49" fontId="7" fillId="0" borderId="0" xfId="246" applyNumberFormat="1" applyFont="1" applyBorder="1" applyAlignment="1">
      <alignment vertical="center"/>
    </xf>
    <xf numFmtId="49" fontId="6" fillId="0" borderId="0" xfId="210" applyNumberFormat="1" applyFont="1" applyBorder="1" applyAlignment="1">
      <alignment vertical="center"/>
    </xf>
    <xf numFmtId="49" fontId="7" fillId="0" borderId="0" xfId="246" applyNumberFormat="1" applyFont="1" applyBorder="1" applyAlignment="1">
      <alignment vertical="top"/>
    </xf>
    <xf numFmtId="49" fontId="36" fillId="0" borderId="0" xfId="219" applyNumberFormat="1" applyFont="1" applyBorder="1" applyAlignment="1" applyProtection="1">
      <alignment vertical="top"/>
    </xf>
    <xf numFmtId="49" fontId="7" fillId="0" borderId="0" xfId="210" applyNumberFormat="1" applyFont="1" applyBorder="1" applyAlignment="1">
      <alignment vertical="top"/>
    </xf>
    <xf numFmtId="49" fontId="6" fillId="0" borderId="0" xfId="210" applyNumberFormat="1" applyFont="1" applyBorder="1" applyAlignment="1">
      <alignment vertical="top"/>
    </xf>
    <xf numFmtId="49" fontId="6" fillId="0" borderId="0" xfId="246" applyNumberFormat="1" applyFont="1" applyBorder="1" applyAlignment="1">
      <alignment vertical="center"/>
    </xf>
    <xf numFmtId="7" fontId="6" fillId="0" borderId="0" xfId="210" applyNumberFormat="1" applyFont="1" applyBorder="1" applyAlignment="1">
      <alignment vertical="center"/>
    </xf>
    <xf numFmtId="0" fontId="7" fillId="0" borderId="0" xfId="197" applyFont="1" applyAlignment="1" applyProtection="1">
      <alignment horizontal="right" vertical="center"/>
      <protection locked="0"/>
    </xf>
    <xf numFmtId="0" fontId="13" fillId="0" borderId="20" xfId="197" applyFont="1" applyBorder="1" applyAlignment="1" applyProtection="1">
      <alignment horizontal="center" vertical="center"/>
      <protection locked="0"/>
    </xf>
    <xf numFmtId="0" fontId="13" fillId="0" borderId="2" xfId="197" applyFont="1" applyBorder="1" applyAlignment="1" applyProtection="1">
      <alignment horizontal="center" vertical="center"/>
      <protection locked="0"/>
    </xf>
    <xf numFmtId="0" fontId="13" fillId="0" borderId="21" xfId="197" applyFont="1" applyBorder="1" applyAlignment="1" applyProtection="1">
      <alignment horizontal="center" vertical="center"/>
      <protection locked="0"/>
    </xf>
    <xf numFmtId="0" fontId="13" fillId="0" borderId="2" xfId="207" applyFont="1" applyBorder="1" applyAlignment="1" applyProtection="1">
      <alignment horizontal="center" vertical="center"/>
      <protection locked="0"/>
    </xf>
    <xf numFmtId="0" fontId="7" fillId="0" borderId="2" xfId="207" applyFont="1" applyBorder="1" applyAlignment="1" applyProtection="1">
      <alignment horizontal="center" vertical="center"/>
      <protection locked="0"/>
    </xf>
    <xf numFmtId="0" fontId="13" fillId="0" borderId="21" xfId="207" applyFont="1" applyBorder="1" applyAlignment="1" applyProtection="1">
      <alignment horizontal="center" vertical="center"/>
      <protection locked="0"/>
    </xf>
    <xf numFmtId="0" fontId="7" fillId="0" borderId="2" xfId="207" applyFont="1" applyBorder="1" applyAlignment="1" applyProtection="1">
      <alignment vertical="center"/>
      <protection locked="0"/>
    </xf>
    <xf numFmtId="0" fontId="13" fillId="0" borderId="2" xfId="207" applyFont="1" applyBorder="1" applyAlignment="1" applyProtection="1">
      <alignment vertical="center"/>
      <protection locked="0"/>
    </xf>
    <xf numFmtId="0" fontId="13" fillId="0" borderId="22" xfId="207" applyFont="1" applyBorder="1" applyAlignment="1" applyProtection="1">
      <alignment horizontal="center" vertical="center"/>
      <protection locked="0"/>
    </xf>
    <xf numFmtId="0" fontId="13" fillId="0" borderId="1" xfId="197" applyFont="1" applyBorder="1" applyAlignment="1" applyProtection="1">
      <alignment horizontal="center" vertical="center"/>
      <protection locked="0"/>
    </xf>
    <xf numFmtId="0" fontId="13" fillId="0" borderId="1" xfId="207" applyFont="1" applyBorder="1" applyAlignment="1" applyProtection="1">
      <alignment vertical="center"/>
      <protection locked="0"/>
    </xf>
    <xf numFmtId="0" fontId="13" fillId="0" borderId="1" xfId="207" applyFont="1" applyBorder="1" applyAlignment="1" applyProtection="1">
      <alignment horizontal="center" vertical="center"/>
      <protection locked="0"/>
    </xf>
    <xf numFmtId="0" fontId="13" fillId="0" borderId="23" xfId="197" applyFont="1" applyBorder="1" applyAlignment="1" applyProtection="1">
      <alignment horizontal="center" vertical="center"/>
      <protection locked="0"/>
    </xf>
    <xf numFmtId="0" fontId="7" fillId="0" borderId="22" xfId="207" applyFont="1" applyBorder="1" applyAlignment="1" applyProtection="1">
      <alignment horizontal="center" vertical="center"/>
      <protection locked="0"/>
    </xf>
    <xf numFmtId="0" fontId="13" fillId="0" borderId="20" xfId="207" applyFont="1" applyBorder="1" applyAlignment="1" applyProtection="1">
      <alignment horizontal="center" vertical="center"/>
      <protection locked="0"/>
    </xf>
    <xf numFmtId="0" fontId="13" fillId="0" borderId="24" xfId="207" applyFont="1" applyBorder="1" applyAlignment="1" applyProtection="1">
      <alignment horizontal="center" vertical="center"/>
      <protection locked="0"/>
    </xf>
    <xf numFmtId="0" fontId="7" fillId="0" borderId="23" xfId="207" applyFont="1" applyBorder="1" applyAlignment="1" applyProtection="1">
      <alignment horizontal="center" vertical="center"/>
      <protection locked="0"/>
    </xf>
    <xf numFmtId="0" fontId="36" fillId="0" borderId="0" xfId="219" applyFont="1" applyAlignment="1" applyProtection="1">
      <alignment horizontal="left" vertical="center"/>
      <protection locked="0"/>
    </xf>
    <xf numFmtId="49" fontId="7" fillId="0" borderId="0" xfId="246" applyNumberFormat="1" applyFont="1" applyBorder="1" applyAlignment="1">
      <alignment horizontal="left" vertical="center"/>
    </xf>
    <xf numFmtId="49" fontId="36" fillId="0" borderId="0" xfId="219" applyNumberFormat="1" applyFont="1" applyBorder="1" applyAlignment="1" applyProtection="1">
      <alignment horizontal="left" vertical="center"/>
    </xf>
    <xf numFmtId="49" fontId="36" fillId="0" borderId="0" xfId="219" applyNumberFormat="1" applyFont="1" applyBorder="1" applyAlignment="1" applyProtection="1">
      <alignment horizontal="left" vertical="top"/>
    </xf>
    <xf numFmtId="49" fontId="7" fillId="0" borderId="0" xfId="210" applyNumberFormat="1" applyFont="1" applyBorder="1" applyAlignment="1">
      <alignment horizontal="left" vertical="center"/>
    </xf>
    <xf numFmtId="0" fontId="33" fillId="0" borderId="0" xfId="210" applyFont="1" applyFill="1" applyAlignment="1" applyProtection="1">
      <alignment horizontal="centerContinuous"/>
    </xf>
    <xf numFmtId="0" fontId="34" fillId="0" borderId="0" xfId="210" applyFont="1" applyFill="1" applyBorder="1" applyProtection="1"/>
    <xf numFmtId="0" fontId="35" fillId="0" borderId="0" xfId="210" applyNumberFormat="1" applyFont="1" applyFill="1" applyBorder="1" applyAlignment="1" applyProtection="1">
      <alignment horizontal="center"/>
    </xf>
    <xf numFmtId="0" fontId="35" fillId="0" borderId="0" xfId="210" applyFont="1" applyFill="1" applyBorder="1" applyProtection="1"/>
    <xf numFmtId="0" fontId="40" fillId="0" borderId="25" xfId="210" applyFont="1" applyFill="1" applyBorder="1" applyAlignment="1" applyProtection="1">
      <alignment vertical="top"/>
    </xf>
    <xf numFmtId="0" fontId="4" fillId="0" borderId="2" xfId="207" applyFont="1" applyBorder="1" applyAlignment="1" applyProtection="1">
      <alignment horizontal="center" vertical="center"/>
      <protection locked="0"/>
    </xf>
    <xf numFmtId="0" fontId="48" fillId="0" borderId="0" xfId="197" applyFont="1" applyAlignment="1" applyProtection="1">
      <alignment horizontal="center" vertical="center"/>
      <protection locked="0"/>
    </xf>
    <xf numFmtId="0" fontId="48" fillId="0" borderId="0" xfId="207" applyFont="1" applyAlignment="1" applyProtection="1">
      <alignment vertical="center"/>
      <protection locked="0"/>
    </xf>
    <xf numFmtId="0" fontId="4" fillId="0" borderId="0" xfId="197" applyFont="1" applyAlignment="1" applyProtection="1">
      <alignment horizontal="center" vertical="center"/>
      <protection locked="0"/>
    </xf>
    <xf numFmtId="0" fontId="4" fillId="0" borderId="0" xfId="207" applyFont="1" applyAlignment="1" applyProtection="1">
      <alignment vertical="center"/>
      <protection locked="0"/>
    </xf>
    <xf numFmtId="0" fontId="4" fillId="0" borderId="0" xfId="207" applyFont="1" applyAlignment="1" applyProtection="1">
      <alignment horizontal="center" vertical="center"/>
      <protection locked="0"/>
    </xf>
    <xf numFmtId="0" fontId="4" fillId="0" borderId="2" xfId="207" applyFont="1" applyBorder="1" applyAlignment="1" applyProtection="1">
      <alignment vertical="center"/>
      <protection locked="0"/>
    </xf>
    <xf numFmtId="0" fontId="4" fillId="0" borderId="23" xfId="207" applyFont="1" applyBorder="1" applyAlignment="1" applyProtection="1">
      <alignment horizontal="center" vertical="center"/>
      <protection locked="0"/>
    </xf>
    <xf numFmtId="0" fontId="49" fillId="0" borderId="2" xfId="207" applyFont="1" applyBorder="1" applyAlignment="1" applyProtection="1">
      <alignment horizontal="center" vertical="center"/>
      <protection locked="0"/>
    </xf>
    <xf numFmtId="0" fontId="4" fillId="0" borderId="23" xfId="197" applyFont="1" applyBorder="1" applyAlignment="1" applyProtection="1">
      <alignment horizontal="center" vertical="center"/>
      <protection locked="0"/>
    </xf>
    <xf numFmtId="0" fontId="4" fillId="0" borderId="23" xfId="207" applyFont="1" applyBorder="1" applyAlignment="1" applyProtection="1">
      <alignment vertical="center"/>
      <protection locked="0"/>
    </xf>
    <xf numFmtId="0" fontId="4" fillId="0" borderId="1" xfId="207" applyFont="1" applyBorder="1" applyAlignment="1" applyProtection="1">
      <alignment vertical="center"/>
      <protection locked="0"/>
    </xf>
    <xf numFmtId="58" fontId="4" fillId="0" borderId="1" xfId="207" applyNumberFormat="1" applyFont="1" applyBorder="1" applyAlignment="1" applyProtection="1">
      <alignment vertical="center"/>
      <protection locked="0"/>
    </xf>
    <xf numFmtId="0" fontId="49" fillId="0" borderId="0" xfId="197" applyFont="1" applyAlignment="1" applyProtection="1">
      <alignment vertical="center"/>
      <protection locked="0"/>
    </xf>
    <xf numFmtId="0" fontId="4" fillId="0" borderId="21" xfId="207" applyFont="1" applyBorder="1" applyAlignment="1" applyProtection="1">
      <alignment horizontal="center" vertical="center"/>
      <protection locked="0"/>
    </xf>
    <xf numFmtId="0" fontId="4" fillId="0" borderId="0" xfId="197" applyFont="1" applyAlignment="1" applyProtection="1">
      <alignment vertical="center"/>
      <protection locked="0"/>
    </xf>
    <xf numFmtId="0" fontId="4" fillId="0" borderId="26" xfId="207" applyFont="1" applyBorder="1" applyAlignment="1" applyProtection="1">
      <alignment vertical="center"/>
      <protection locked="0"/>
    </xf>
    <xf numFmtId="4" fontId="4" fillId="0" borderId="27" xfId="207" applyNumberFormat="1" applyFont="1" applyBorder="1" applyAlignment="1" applyProtection="1">
      <alignment vertical="center"/>
      <protection locked="0"/>
    </xf>
    <xf numFmtId="4" fontId="4" fillId="0" borderId="1" xfId="207" applyNumberFormat="1" applyFont="1" applyBorder="1" applyAlignment="1" applyProtection="1">
      <alignment vertical="center"/>
      <protection locked="0"/>
    </xf>
    <xf numFmtId="0" fontId="4" fillId="0" borderId="28" xfId="207" applyFont="1" applyBorder="1" applyAlignment="1" applyProtection="1">
      <alignment vertical="center"/>
      <protection locked="0"/>
    </xf>
    <xf numFmtId="0" fontId="4" fillId="0" borderId="22" xfId="207" applyFont="1" applyBorder="1" applyAlignment="1" applyProtection="1">
      <alignment horizontal="center" vertical="center"/>
      <protection locked="0"/>
    </xf>
    <xf numFmtId="0" fontId="4" fillId="0" borderId="29" xfId="207" applyFont="1" applyBorder="1" applyAlignment="1" applyProtection="1">
      <alignment vertical="center"/>
      <protection locked="0"/>
    </xf>
    <xf numFmtId="0" fontId="4" fillId="0" borderId="0" xfId="197" applyFont="1" applyAlignment="1" applyProtection="1">
      <alignment horizontal="left" vertical="center"/>
      <protection locked="0"/>
    </xf>
    <xf numFmtId="0" fontId="49" fillId="0" borderId="0" xfId="207" applyFont="1" applyBorder="1" applyAlignment="1" applyProtection="1">
      <alignment horizontal="center" vertical="center"/>
      <protection locked="0"/>
    </xf>
    <xf numFmtId="180" fontId="4" fillId="0" borderId="2" xfId="149" applyNumberFormat="1" applyFont="1" applyFill="1" applyBorder="1" applyAlignment="1" applyProtection="1">
      <alignment horizontal="left" vertical="center"/>
      <protection locked="0"/>
    </xf>
    <xf numFmtId="0" fontId="51" fillId="0" borderId="0" xfId="210" applyFont="1" applyFill="1" applyAlignment="1" applyProtection="1">
      <alignment horizontal="centerContinuous"/>
    </xf>
    <xf numFmtId="0" fontId="52" fillId="0" borderId="0" xfId="0" applyFont="1" applyProtection="1"/>
    <xf numFmtId="0" fontId="53" fillId="0" borderId="30" xfId="210" applyFont="1" applyFill="1" applyBorder="1" applyProtection="1"/>
    <xf numFmtId="0" fontId="54" fillId="0" borderId="0" xfId="0" applyFont="1" applyProtection="1"/>
    <xf numFmtId="0" fontId="12" fillId="0" borderId="0" xfId="210" applyFont="1" applyFill="1" applyBorder="1" applyAlignment="1" applyProtection="1">
      <alignment horizontal="right"/>
    </xf>
    <xf numFmtId="0" fontId="52" fillId="0" borderId="0" xfId="210" applyFont="1" applyFill="1" applyBorder="1" applyProtection="1"/>
    <xf numFmtId="49" fontId="52" fillId="0" borderId="0" xfId="246" applyNumberFormat="1" applyFont="1" applyAlignment="1" applyProtection="1">
      <alignment horizontal="centerContinuous" vertical="center"/>
    </xf>
    <xf numFmtId="0" fontId="55" fillId="0" borderId="0" xfId="210" applyFont="1" applyFill="1" applyProtection="1"/>
    <xf numFmtId="0" fontId="55" fillId="0" borderId="0" xfId="210" applyFont="1" applyFill="1" applyBorder="1" applyProtection="1"/>
    <xf numFmtId="0" fontId="56" fillId="0" borderId="0" xfId="0" applyFont="1" applyProtection="1"/>
    <xf numFmtId="0" fontId="53" fillId="0" borderId="0" xfId="210" applyFont="1" applyFill="1" applyBorder="1" applyAlignment="1" applyProtection="1">
      <alignment vertical="top"/>
    </xf>
    <xf numFmtId="0" fontId="57" fillId="0" borderId="25" xfId="210" applyFont="1" applyFill="1" applyBorder="1" applyAlignment="1" applyProtection="1">
      <alignment vertical="top"/>
    </xf>
    <xf numFmtId="0" fontId="57" fillId="0" borderId="0" xfId="210" applyFont="1" applyFill="1" applyBorder="1" applyAlignment="1" applyProtection="1">
      <alignment vertical="top"/>
    </xf>
    <xf numFmtId="0" fontId="54" fillId="0" borderId="0" xfId="210" applyFont="1" applyFill="1" applyProtection="1"/>
    <xf numFmtId="0" fontId="53" fillId="0" borderId="0" xfId="210" applyFont="1" applyFill="1" applyAlignment="1" applyProtection="1">
      <alignment vertical="top"/>
    </xf>
    <xf numFmtId="49" fontId="4" fillId="0" borderId="0" xfId="0" applyNumberFormat="1" applyFont="1" applyAlignment="1">
      <alignment vertical="center"/>
    </xf>
    <xf numFmtId="0" fontId="7" fillId="0" borderId="2" xfId="0" applyFont="1" applyBorder="1" applyAlignment="1">
      <alignment horizontal="center" vertical="center"/>
    </xf>
    <xf numFmtId="0" fontId="7" fillId="0" borderId="2" xfId="0" applyFont="1" applyFill="1" applyBorder="1" applyAlignment="1">
      <alignment horizontal="center" vertical="center"/>
    </xf>
    <xf numFmtId="180" fontId="7" fillId="0" borderId="2" xfId="0" applyNumberFormat="1" applyFont="1" applyBorder="1" applyAlignment="1">
      <alignment horizontal="center" vertical="center"/>
    </xf>
    <xf numFmtId="0" fontId="4" fillId="0" borderId="2" xfId="0" applyFont="1" applyBorder="1" applyAlignment="1">
      <alignment horizontal="center" vertical="center"/>
    </xf>
    <xf numFmtId="0" fontId="7" fillId="0" borderId="0" xfId="0" applyFont="1" applyAlignment="1">
      <alignment horizontal="right" vertical="center"/>
    </xf>
    <xf numFmtId="0" fontId="38" fillId="0" borderId="2" xfId="0" applyFont="1" applyBorder="1" applyAlignment="1">
      <alignment horizontal="center" vertical="center"/>
    </xf>
    <xf numFmtId="0" fontId="38" fillId="0" borderId="2" xfId="219" applyFont="1" applyBorder="1" applyAlignment="1" applyProtection="1">
      <alignment vertical="center"/>
    </xf>
    <xf numFmtId="0" fontId="38" fillId="0" borderId="2" xfId="219" applyFont="1" applyBorder="1" applyAlignment="1" applyProtection="1">
      <alignment horizontal="left" vertical="center"/>
    </xf>
    <xf numFmtId="0" fontId="7" fillId="0" borderId="26" xfId="0" applyFont="1" applyBorder="1" applyAlignment="1">
      <alignment horizontal="center" vertical="center"/>
    </xf>
    <xf numFmtId="0" fontId="7" fillId="0" borderId="2" xfId="0" applyFont="1" applyBorder="1" applyAlignment="1">
      <alignment horizontal="left" vertical="center"/>
    </xf>
    <xf numFmtId="0" fontId="7" fillId="0" borderId="0" xfId="0" applyFont="1" applyFill="1" applyAlignment="1">
      <alignment horizontal="right" vertical="center"/>
    </xf>
    <xf numFmtId="0" fontId="61" fillId="0" borderId="0" xfId="0" applyFont="1" applyAlignment="1">
      <alignment horizontal="center" vertical="center" wrapText="1"/>
    </xf>
    <xf numFmtId="0" fontId="61" fillId="0" borderId="0" xfId="0" applyFont="1" applyAlignment="1">
      <alignment vertical="center"/>
    </xf>
    <xf numFmtId="182" fontId="4" fillId="0" borderId="0" xfId="0" applyNumberFormat="1" applyFont="1" applyAlignment="1">
      <alignment vertical="center"/>
    </xf>
    <xf numFmtId="0" fontId="4" fillId="0" borderId="0" xfId="0" applyFont="1" applyAlignment="1">
      <alignment horizontal="center" vertical="center"/>
    </xf>
    <xf numFmtId="180" fontId="4" fillId="0" borderId="2" xfId="0" applyNumberFormat="1" applyFont="1" applyBorder="1" applyAlignment="1">
      <alignment vertical="center"/>
    </xf>
    <xf numFmtId="0" fontId="39" fillId="0" borderId="2" xfId="0" applyFont="1" applyBorder="1" applyAlignment="1">
      <alignment vertical="center"/>
    </xf>
    <xf numFmtId="0" fontId="39" fillId="0" borderId="2" xfId="0" applyFont="1" applyBorder="1" applyAlignment="1">
      <alignment horizontal="left" vertical="center"/>
    </xf>
    <xf numFmtId="0" fontId="4" fillId="0" borderId="2" xfId="0" applyFont="1" applyBorder="1" applyAlignment="1">
      <alignment vertical="center"/>
    </xf>
    <xf numFmtId="14" fontId="4" fillId="0" borderId="2" xfId="0" applyNumberFormat="1" applyFont="1" applyBorder="1" applyAlignment="1">
      <alignment horizontal="center" vertical="center"/>
    </xf>
    <xf numFmtId="0" fontId="4" fillId="0" borderId="0" xfId="0" applyNumberFormat="1" applyFont="1" applyAlignment="1">
      <alignment horizontal="center" vertical="center"/>
    </xf>
    <xf numFmtId="180" fontId="4" fillId="0" borderId="0" xfId="0" applyNumberFormat="1" applyFont="1" applyAlignment="1">
      <alignment vertical="center"/>
    </xf>
    <xf numFmtId="0" fontId="4" fillId="0" borderId="26" xfId="0" applyFont="1" applyBorder="1" applyAlignment="1">
      <alignment horizontal="center" vertical="center"/>
    </xf>
    <xf numFmtId="0" fontId="49" fillId="0" borderId="2" xfId="0" applyFont="1" applyBorder="1" applyAlignment="1">
      <alignment vertical="center"/>
    </xf>
    <xf numFmtId="0" fontId="49" fillId="0" borderId="0" xfId="0" applyFont="1" applyAlignment="1">
      <alignment vertical="center"/>
    </xf>
    <xf numFmtId="49" fontId="4" fillId="0" borderId="2" xfId="0" applyNumberFormat="1" applyFont="1" applyBorder="1" applyAlignment="1">
      <alignment horizontal="center" vertical="center"/>
    </xf>
    <xf numFmtId="0" fontId="4" fillId="0" borderId="2" xfId="0" applyFont="1" applyBorder="1" applyAlignment="1">
      <alignment horizontal="left" vertical="center"/>
    </xf>
    <xf numFmtId="0" fontId="4" fillId="0" borderId="0" xfId="0" applyNumberFormat="1" applyFont="1" applyAlignment="1">
      <alignment vertical="center"/>
    </xf>
    <xf numFmtId="0" fontId="4" fillId="0" borderId="0" xfId="0" applyFont="1" applyAlignment="1">
      <alignment horizontal="right" vertical="center"/>
    </xf>
    <xf numFmtId="49" fontId="4" fillId="0" borderId="2" xfId="0" applyNumberFormat="1" applyFont="1" applyBorder="1" applyAlignment="1">
      <alignment horizontal="left" vertical="center"/>
    </xf>
    <xf numFmtId="14" fontId="4" fillId="0" borderId="0" xfId="0" applyNumberFormat="1" applyFont="1" applyBorder="1" applyAlignment="1">
      <alignment horizontal="center" vertical="center"/>
    </xf>
    <xf numFmtId="0" fontId="4" fillId="0" borderId="0" xfId="201" applyFont="1" applyFill="1" applyAlignment="1">
      <alignment vertical="center"/>
    </xf>
    <xf numFmtId="49" fontId="4" fillId="0" borderId="33" xfId="0" applyNumberFormat="1" applyFont="1" applyBorder="1" applyAlignment="1">
      <alignment horizontal="center" vertical="center" wrapText="1"/>
    </xf>
    <xf numFmtId="49" fontId="4" fillId="0" borderId="0" xfId="0" applyNumberFormat="1" applyFont="1" applyAlignment="1">
      <alignment horizontal="center" vertical="center"/>
    </xf>
    <xf numFmtId="180" fontId="4" fillId="29" borderId="2" xfId="0" applyNumberFormat="1" applyFont="1" applyFill="1" applyBorder="1" applyAlignment="1">
      <alignment horizontal="center" vertical="center" wrapText="1"/>
    </xf>
    <xf numFmtId="0" fontId="29" fillId="0" borderId="0" xfId="0" applyFont="1" applyAlignment="1">
      <alignment vertical="center"/>
    </xf>
    <xf numFmtId="0" fontId="4" fillId="0" borderId="0" xfId="0" applyFont="1" applyFill="1" applyAlignment="1">
      <alignment vertical="center"/>
    </xf>
    <xf numFmtId="180" fontId="4" fillId="0" borderId="0" xfId="0" applyNumberFormat="1" applyFont="1" applyFill="1" applyAlignment="1">
      <alignment vertical="center"/>
    </xf>
    <xf numFmtId="0" fontId="62" fillId="0" borderId="0" xfId="0" applyFont="1" applyAlignment="1">
      <alignment horizontal="center" vertical="center" wrapText="1"/>
    </xf>
    <xf numFmtId="0" fontId="62" fillId="0" borderId="0" xfId="0" applyFont="1" applyAlignment="1">
      <alignment vertical="center"/>
    </xf>
    <xf numFmtId="43" fontId="4" fillId="0" borderId="2" xfId="0" applyNumberFormat="1" applyFont="1" applyBorder="1" applyAlignment="1">
      <alignment horizontal="right" vertical="center"/>
    </xf>
    <xf numFmtId="43" fontId="4" fillId="0" borderId="2" xfId="0" applyNumberFormat="1" applyFont="1" applyFill="1" applyBorder="1" applyAlignment="1">
      <alignment horizontal="right" vertical="center"/>
    </xf>
    <xf numFmtId="43" fontId="4" fillId="0" borderId="26" xfId="0" applyNumberFormat="1" applyFont="1" applyBorder="1" applyAlignment="1">
      <alignment horizontal="right" vertical="center"/>
    </xf>
    <xf numFmtId="0" fontId="64" fillId="0" borderId="0" xfId="0" applyFont="1" applyAlignment="1">
      <alignment vertical="center"/>
    </xf>
    <xf numFmtId="0" fontId="39" fillId="0" borderId="34" xfId="0" applyFont="1" applyBorder="1" applyAlignment="1">
      <alignment horizontal="center" vertical="center"/>
    </xf>
    <xf numFmtId="0" fontId="39" fillId="0" borderId="26" xfId="0" applyFont="1" applyBorder="1" applyAlignment="1">
      <alignment horizontal="center" vertical="center"/>
    </xf>
    <xf numFmtId="0" fontId="39" fillId="0" borderId="0" xfId="0" applyFont="1" applyBorder="1" applyAlignment="1">
      <alignment horizontal="left" vertical="center"/>
    </xf>
    <xf numFmtId="0" fontId="39" fillId="0" borderId="0" xfId="0" applyFont="1" applyBorder="1" applyAlignment="1">
      <alignment horizontal="right" vertical="center"/>
    </xf>
    <xf numFmtId="49" fontId="4" fillId="0" borderId="34" xfId="0" applyNumberFormat="1" applyFont="1" applyBorder="1" applyAlignment="1">
      <alignment horizontal="center" vertical="center"/>
    </xf>
    <xf numFmtId="43" fontId="4" fillId="0" borderId="26" xfId="0" applyNumberFormat="1" applyFont="1" applyFill="1" applyBorder="1" applyAlignment="1">
      <alignment horizontal="right" vertical="center"/>
    </xf>
    <xf numFmtId="0" fontId="39" fillId="0" borderId="4" xfId="0" applyFont="1" applyBorder="1" applyAlignment="1">
      <alignment horizontal="center" vertical="center"/>
    </xf>
    <xf numFmtId="0" fontId="4" fillId="0" borderId="2" xfId="0" applyNumberFormat="1" applyFont="1" applyBorder="1" applyAlignment="1">
      <alignment horizontal="center" vertical="center"/>
    </xf>
    <xf numFmtId="49" fontId="4" fillId="0" borderId="2" xfId="0" applyNumberFormat="1" applyFont="1" applyBorder="1" applyAlignment="1">
      <alignment vertical="center"/>
    </xf>
    <xf numFmtId="43" fontId="4" fillId="0" borderId="33" xfId="0" applyNumberFormat="1" applyFont="1" applyBorder="1" applyAlignment="1">
      <alignment horizontal="right" vertical="center"/>
    </xf>
    <xf numFmtId="49" fontId="4" fillId="0" borderId="0" xfId="0" applyNumberFormat="1" applyFont="1" applyBorder="1" applyAlignment="1">
      <alignment horizontal="right" vertical="center"/>
    </xf>
    <xf numFmtId="0" fontId="4" fillId="0" borderId="2" xfId="0" applyFont="1" applyBorder="1" applyAlignment="1">
      <alignment horizontal="right" vertical="center"/>
    </xf>
    <xf numFmtId="43" fontId="4" fillId="29" borderId="2" xfId="0" applyNumberFormat="1" applyFont="1" applyFill="1" applyBorder="1" applyAlignment="1">
      <alignment horizontal="right" vertical="center"/>
    </xf>
    <xf numFmtId="0" fontId="61" fillId="0" borderId="0" xfId="0" applyFont="1" applyAlignment="1">
      <alignment vertical="center" wrapText="1"/>
    </xf>
    <xf numFmtId="43" fontId="4" fillId="0" borderId="2" xfId="201" applyNumberFormat="1" applyFont="1" applyFill="1" applyBorder="1" applyAlignment="1">
      <alignment horizontal="right" vertical="center" wrapText="1"/>
    </xf>
    <xf numFmtId="43" fontId="4" fillId="0" borderId="2" xfId="201" applyNumberFormat="1" applyFont="1" applyFill="1" applyBorder="1" applyAlignment="1">
      <alignment horizontal="right" vertical="center"/>
    </xf>
    <xf numFmtId="0" fontId="4" fillId="0" borderId="2" xfId="0" applyNumberFormat="1" applyFont="1" applyBorder="1" applyAlignment="1">
      <alignment horizontal="right" vertical="center"/>
    </xf>
    <xf numFmtId="43" fontId="4" fillId="0" borderId="2" xfId="0" applyNumberFormat="1" applyFont="1" applyBorder="1" applyAlignment="1">
      <alignment vertical="center"/>
    </xf>
    <xf numFmtId="0" fontId="4" fillId="29" borderId="2" xfId="0" applyFont="1" applyFill="1" applyBorder="1" applyAlignment="1">
      <alignment horizontal="left" vertical="center"/>
    </xf>
    <xf numFmtId="14" fontId="4" fillId="0" borderId="2" xfId="0" applyNumberFormat="1" applyFont="1" applyBorder="1" applyAlignment="1">
      <alignment horizontal="right" vertical="center"/>
    </xf>
    <xf numFmtId="0" fontId="4" fillId="0" borderId="26" xfId="0" applyFont="1" applyBorder="1" applyAlignment="1">
      <alignment horizontal="right" vertical="center"/>
    </xf>
    <xf numFmtId="0" fontId="67" fillId="0" borderId="0" xfId="210" applyFont="1" applyFill="1" applyBorder="1" applyProtection="1"/>
    <xf numFmtId="0" fontId="68" fillId="0" borderId="0" xfId="210" applyFont="1" applyFill="1" applyBorder="1" applyProtection="1"/>
    <xf numFmtId="0" fontId="69" fillId="0" borderId="0" xfId="0" applyFont="1" applyProtection="1"/>
    <xf numFmtId="0" fontId="4" fillId="0" borderId="0" xfId="207" applyFont="1" applyBorder="1" applyAlignment="1" applyProtection="1">
      <alignment horizontal="center" vertical="center"/>
      <protection locked="0"/>
    </xf>
    <xf numFmtId="0" fontId="49" fillId="0" borderId="35" xfId="207" applyFont="1" applyBorder="1" applyAlignment="1" applyProtection="1">
      <alignment horizontal="center" vertical="center"/>
      <protection locked="0"/>
    </xf>
    <xf numFmtId="0" fontId="4" fillId="0" borderId="35" xfId="207" applyFont="1" applyBorder="1" applyAlignment="1" applyProtection="1">
      <alignment horizontal="center" vertical="center"/>
      <protection locked="0"/>
    </xf>
    <xf numFmtId="0" fontId="46" fillId="0" borderId="35" xfId="207" applyFont="1" applyBorder="1" applyAlignment="1" applyProtection="1">
      <alignment horizontal="left" vertical="center"/>
      <protection locked="0"/>
    </xf>
    <xf numFmtId="0" fontId="13" fillId="0" borderId="33" xfId="207" applyFont="1" applyBorder="1" applyAlignment="1" applyProtection="1">
      <alignment horizontal="center" vertical="center"/>
      <protection locked="0"/>
    </xf>
    <xf numFmtId="0" fontId="13" fillId="0" borderId="36" xfId="207" applyFont="1" applyBorder="1" applyAlignment="1" applyProtection="1">
      <alignment horizontal="center" vertical="center"/>
      <protection locked="0"/>
    </xf>
    <xf numFmtId="0" fontId="13" fillId="0" borderId="21" xfId="207" applyFont="1" applyBorder="1" applyAlignment="1" applyProtection="1">
      <alignment horizontal="left" vertical="center"/>
      <protection locked="0"/>
    </xf>
    <xf numFmtId="0" fontId="13" fillId="0" borderId="37" xfId="207" applyFont="1" applyBorder="1" applyAlignment="1" applyProtection="1">
      <alignment horizontal="left" vertical="center"/>
      <protection locked="0"/>
    </xf>
    <xf numFmtId="0" fontId="49" fillId="0" borderId="38" xfId="207" applyFont="1" applyBorder="1" applyAlignment="1" applyProtection="1">
      <alignment horizontal="left" vertical="center"/>
      <protection locked="0"/>
    </xf>
    <xf numFmtId="0" fontId="4" fillId="0" borderId="19" xfId="207" applyFont="1" applyBorder="1" applyAlignment="1" applyProtection="1">
      <alignment horizontal="center" vertical="center"/>
      <protection locked="0"/>
    </xf>
    <xf numFmtId="0" fontId="4" fillId="0" borderId="39" xfId="207" applyFont="1" applyBorder="1" applyAlignment="1" applyProtection="1">
      <alignment vertical="center"/>
      <protection locked="0"/>
    </xf>
    <xf numFmtId="0" fontId="50" fillId="0" borderId="0" xfId="197" applyFont="1" applyAlignment="1" applyProtection="1">
      <alignment horizontal="left" vertical="center"/>
      <protection locked="0"/>
    </xf>
    <xf numFmtId="0" fontId="49" fillId="0" borderId="2" xfId="207" applyNumberFormat="1" applyFont="1" applyBorder="1" applyAlignment="1" applyProtection="1">
      <alignment horizontal="left" vertical="center"/>
      <protection locked="0"/>
    </xf>
    <xf numFmtId="0" fontId="36" fillId="0" borderId="30" xfId="219" applyNumberFormat="1" applyFont="1" applyFill="1" applyBorder="1" applyAlignment="1" applyProtection="1">
      <alignment shrinkToFit="1"/>
      <protection locked="0"/>
    </xf>
    <xf numFmtId="0" fontId="53" fillId="0" borderId="30" xfId="210" applyFont="1" applyFill="1" applyBorder="1" applyProtection="1">
      <protection locked="0"/>
    </xf>
    <xf numFmtId="0" fontId="61" fillId="0" borderId="0" xfId="0" applyFont="1" applyAlignment="1" applyProtection="1">
      <alignment vertical="center"/>
    </xf>
    <xf numFmtId="0" fontId="4" fillId="0" borderId="0" xfId="0" applyFont="1" applyAlignment="1" applyProtection="1">
      <alignment vertical="center"/>
    </xf>
    <xf numFmtId="182" fontId="4" fillId="0" borderId="0" xfId="0" applyNumberFormat="1" applyFont="1" applyAlignment="1" applyProtection="1">
      <alignment vertical="center"/>
    </xf>
    <xf numFmtId="0" fontId="7" fillId="0" borderId="0" xfId="0" applyFont="1" applyAlignment="1" applyProtection="1">
      <alignment horizontal="right" vertical="center"/>
    </xf>
    <xf numFmtId="0" fontId="4" fillId="0" borderId="2" xfId="0" applyFont="1" applyBorder="1" applyAlignment="1" applyProtection="1">
      <alignment horizontal="center" vertical="center"/>
    </xf>
    <xf numFmtId="0" fontId="4" fillId="0" borderId="2" xfId="0" applyFont="1" applyBorder="1" applyAlignment="1" applyProtection="1">
      <alignment horizontal="left" vertical="center"/>
    </xf>
    <xf numFmtId="43" fontId="4" fillId="0" borderId="2" xfId="0" applyNumberFormat="1" applyFont="1" applyBorder="1" applyAlignment="1" applyProtection="1">
      <alignment horizontal="right" vertical="center"/>
    </xf>
    <xf numFmtId="0" fontId="4" fillId="0" borderId="2" xfId="0" applyFont="1" applyBorder="1" applyAlignment="1" applyProtection="1">
      <alignment vertical="center"/>
    </xf>
    <xf numFmtId="0" fontId="7" fillId="0" borderId="2" xfId="0" applyFont="1" applyBorder="1" applyAlignment="1" applyProtection="1">
      <alignment horizontal="left" vertical="center"/>
    </xf>
    <xf numFmtId="49" fontId="4" fillId="0" borderId="0" xfId="0" applyNumberFormat="1" applyFont="1" applyAlignment="1" applyProtection="1">
      <alignment vertical="center"/>
    </xf>
    <xf numFmtId="184" fontId="36" fillId="13" borderId="0" xfId="219" applyNumberFormat="1" applyFont="1" applyFill="1" applyAlignment="1" applyProtection="1">
      <alignment horizontal="left" vertical="center" shrinkToFit="1"/>
      <protection locked="0" hidden="1"/>
    </xf>
    <xf numFmtId="0" fontId="36" fillId="0" borderId="0" xfId="219" applyFont="1" applyAlignment="1" applyProtection="1">
      <alignment horizontal="left" vertical="center" wrapText="1"/>
    </xf>
    <xf numFmtId="0" fontId="4" fillId="0" borderId="0" xfId="0" applyFont="1" applyFill="1" applyAlignment="1">
      <alignment horizontal="center" vertical="center" wrapText="1"/>
    </xf>
    <xf numFmtId="184" fontId="36" fillId="13" borderId="0" xfId="219" applyNumberFormat="1" applyFont="1" applyFill="1" applyAlignment="1" applyProtection="1">
      <alignment horizontal="left" vertical="center" shrinkToFit="1"/>
      <protection hidden="1"/>
    </xf>
    <xf numFmtId="0" fontId="4" fillId="0" borderId="0" xfId="0" applyFont="1" applyAlignment="1" applyProtection="1">
      <alignment horizontal="center" vertical="center" wrapText="1"/>
    </xf>
    <xf numFmtId="0" fontId="36" fillId="0" borderId="0" xfId="219" applyFont="1" applyAlignment="1" applyProtection="1">
      <alignment horizontal="left" vertical="center"/>
    </xf>
    <xf numFmtId="0" fontId="4" fillId="0" borderId="2" xfId="0" applyFont="1" applyFill="1" applyBorder="1" applyAlignment="1">
      <alignment horizontal="left" vertical="center"/>
    </xf>
    <xf numFmtId="0" fontId="7" fillId="0" borderId="2" xfId="0" applyFont="1" applyFill="1" applyBorder="1" applyAlignment="1">
      <alignment horizontal="center" vertical="center" wrapText="1"/>
    </xf>
    <xf numFmtId="49" fontId="7" fillId="0" borderId="2" xfId="0" applyNumberFormat="1" applyFont="1" applyBorder="1" applyAlignment="1">
      <alignment horizontal="center" vertical="center"/>
    </xf>
    <xf numFmtId="0" fontId="38" fillId="0" borderId="2" xfId="219" applyFont="1" applyBorder="1" applyAlignment="1" applyProtection="1">
      <alignment horizontal="left" vertical="center" indent="1"/>
    </xf>
    <xf numFmtId="0" fontId="39" fillId="0" borderId="2" xfId="219" applyFont="1" applyBorder="1" applyAlignment="1" applyProtection="1">
      <alignment horizontal="left" vertical="center" indent="1"/>
    </xf>
    <xf numFmtId="0" fontId="7" fillId="11" borderId="2" xfId="0" applyFont="1" applyFill="1" applyBorder="1" applyAlignment="1">
      <alignment horizontal="center" vertical="center"/>
    </xf>
    <xf numFmtId="43" fontId="4" fillId="11" borderId="26" xfId="0" applyNumberFormat="1" applyFont="1" applyFill="1" applyBorder="1" applyAlignment="1">
      <alignment horizontal="right" vertical="center"/>
    </xf>
    <xf numFmtId="180" fontId="4" fillId="0" borderId="40" xfId="149" applyNumberFormat="1" applyFont="1" applyFill="1" applyBorder="1" applyAlignment="1" applyProtection="1">
      <alignment horizontal="left" vertical="center"/>
      <protection locked="0"/>
    </xf>
    <xf numFmtId="0" fontId="7" fillId="11" borderId="0" xfId="0" applyFont="1" applyFill="1" applyAlignment="1">
      <alignment horizontal="right" vertical="center"/>
    </xf>
    <xf numFmtId="43" fontId="4" fillId="11" borderId="0" xfId="0" applyNumberFormat="1" applyFont="1" applyFill="1" applyAlignment="1">
      <alignment vertical="center"/>
    </xf>
    <xf numFmtId="190" fontId="4" fillId="11" borderId="0" xfId="0" applyNumberFormat="1" applyFont="1" applyFill="1" applyAlignment="1">
      <alignment vertical="center"/>
    </xf>
    <xf numFmtId="0" fontId="50" fillId="0" borderId="0" xfId="18" applyFont="1" applyAlignment="1">
      <alignment horizontal="center" vertical="center"/>
    </xf>
    <xf numFmtId="43" fontId="7" fillId="30" borderId="2" xfId="246" applyFont="1" applyFill="1" applyBorder="1" applyAlignment="1">
      <alignment horizontal="center" vertical="center"/>
    </xf>
    <xf numFmtId="43" fontId="4" fillId="30" borderId="26" xfId="18" applyNumberFormat="1" applyFont="1" applyFill="1" applyBorder="1" applyAlignment="1">
      <alignment horizontal="right" vertical="center"/>
    </xf>
    <xf numFmtId="43" fontId="4" fillId="30" borderId="2" xfId="246" applyFont="1" applyFill="1" applyBorder="1" applyAlignment="1">
      <alignment vertical="center"/>
    </xf>
    <xf numFmtId="0" fontId="7" fillId="0" borderId="0" xfId="0" applyFont="1" applyAlignment="1"/>
    <xf numFmtId="0" fontId="4" fillId="0" borderId="0" xfId="0" applyFont="1" applyAlignment="1"/>
    <xf numFmtId="0" fontId="4" fillId="0" borderId="0" xfId="0" applyFont="1" applyFill="1" applyAlignment="1"/>
    <xf numFmtId="0" fontId="49" fillId="0" borderId="2" xfId="0" applyFont="1" applyBorder="1" applyAlignment="1">
      <alignment horizontal="center" vertical="center"/>
    </xf>
    <xf numFmtId="0" fontId="71" fillId="0" borderId="2" xfId="0" applyFont="1" applyBorder="1" applyAlignment="1">
      <alignment horizontal="left" vertical="center"/>
    </xf>
    <xf numFmtId="43" fontId="49" fillId="0" borderId="2" xfId="0" applyNumberFormat="1" applyFont="1" applyBorder="1" applyAlignment="1">
      <alignment horizontal="right" vertical="center"/>
    </xf>
    <xf numFmtId="43" fontId="49" fillId="0" borderId="2" xfId="0" applyNumberFormat="1" applyFont="1" applyFill="1" applyBorder="1" applyAlignment="1">
      <alignment horizontal="right" vertical="center"/>
    </xf>
    <xf numFmtId="43" fontId="49" fillId="11" borderId="26" xfId="0" applyNumberFormat="1" applyFont="1" applyFill="1" applyBorder="1" applyAlignment="1">
      <alignment horizontal="right" vertical="center"/>
    </xf>
    <xf numFmtId="43" fontId="49" fillId="30" borderId="2" xfId="246" applyFont="1" applyFill="1" applyBorder="1" applyAlignment="1">
      <alignment vertical="center"/>
    </xf>
    <xf numFmtId="43" fontId="49" fillId="30" borderId="26" xfId="18" applyNumberFormat="1" applyFont="1" applyFill="1" applyBorder="1" applyAlignment="1">
      <alignment horizontal="right" vertical="center"/>
    </xf>
    <xf numFmtId="0" fontId="71" fillId="0" borderId="2" xfId="219" applyFont="1" applyBorder="1" applyAlignment="1" applyProtection="1">
      <alignment horizontal="left" vertical="center"/>
    </xf>
    <xf numFmtId="0" fontId="13" fillId="0" borderId="0" xfId="0" applyFont="1" applyAlignment="1">
      <alignment vertical="center"/>
    </xf>
    <xf numFmtId="0" fontId="38" fillId="0" borderId="2" xfId="219" applyFont="1" applyBorder="1" applyAlignment="1" applyProtection="1">
      <alignment horizontal="center" vertical="center"/>
    </xf>
    <xf numFmtId="49" fontId="4" fillId="0" borderId="2" xfId="0" applyNumberFormat="1" applyFont="1" applyFill="1" applyBorder="1" applyAlignment="1">
      <alignment horizontal="center" vertical="center"/>
    </xf>
    <xf numFmtId="0" fontId="4" fillId="0" borderId="2" xfId="0" applyFont="1" applyFill="1" applyBorder="1" applyAlignment="1">
      <alignment vertical="center"/>
    </xf>
    <xf numFmtId="43" fontId="4" fillId="0" borderId="33" xfId="0" applyNumberFormat="1" applyFont="1" applyFill="1" applyBorder="1" applyAlignment="1">
      <alignment horizontal="right" vertical="center"/>
    </xf>
    <xf numFmtId="49" fontId="4" fillId="0" borderId="2" xfId="0" applyNumberFormat="1" applyFont="1" applyFill="1" applyBorder="1" applyAlignment="1">
      <alignment horizontal="left" vertical="center"/>
    </xf>
    <xf numFmtId="0" fontId="4" fillId="0" borderId="34" xfId="0" applyFont="1" applyBorder="1" applyAlignment="1">
      <alignment vertical="center"/>
    </xf>
    <xf numFmtId="187" fontId="36" fillId="0" borderId="0" xfId="219" applyNumberFormat="1" applyFont="1" applyFill="1" applyBorder="1" applyAlignment="1" applyProtection="1">
      <alignment horizontal="left" vertical="center"/>
      <protection locked="0"/>
    </xf>
    <xf numFmtId="187" fontId="48" fillId="0" borderId="0" xfId="149" applyNumberFormat="1" applyFont="1" applyFill="1" applyBorder="1" applyAlignment="1" applyProtection="1">
      <alignment horizontal="center" vertical="center"/>
      <protection locked="0"/>
    </xf>
    <xf numFmtId="187" fontId="48" fillId="0" borderId="0" xfId="149" applyNumberFormat="1" applyFont="1" applyFill="1" applyAlignment="1" applyProtection="1">
      <alignment horizontal="left" vertical="center"/>
      <protection locked="0"/>
    </xf>
    <xf numFmtId="187" fontId="49" fillId="0" borderId="0" xfId="149" applyNumberFormat="1" applyFont="1" applyFill="1" applyAlignment="1" applyProtection="1">
      <alignment horizontal="center" vertical="center"/>
      <protection locked="0"/>
    </xf>
    <xf numFmtId="187" fontId="4" fillId="0" borderId="0" xfId="149" applyNumberFormat="1" applyFont="1" applyFill="1" applyAlignment="1" applyProtection="1">
      <alignment horizontal="right" vertical="center"/>
      <protection locked="0"/>
    </xf>
    <xf numFmtId="187" fontId="49" fillId="0" borderId="0" xfId="149" applyNumberFormat="1" applyFont="1" applyFill="1" applyAlignment="1" applyProtection="1">
      <alignment horizontal="left" vertical="center"/>
      <protection locked="0"/>
    </xf>
    <xf numFmtId="187" fontId="4" fillId="0" borderId="0" xfId="149" applyNumberFormat="1" applyFont="1" applyFill="1" applyAlignment="1" applyProtection="1">
      <alignment horizontal="left" vertical="center"/>
      <protection locked="0"/>
    </xf>
    <xf numFmtId="188" fontId="4" fillId="0" borderId="0" xfId="149" applyNumberFormat="1" applyFont="1" applyFill="1" applyAlignment="1" applyProtection="1">
      <alignment horizontal="left" vertical="center"/>
      <protection locked="0"/>
    </xf>
    <xf numFmtId="187" fontId="13" fillId="0" borderId="0" xfId="149" applyNumberFormat="1" applyFont="1" applyFill="1" applyAlignment="1" applyProtection="1">
      <alignment horizontal="left" vertical="center"/>
      <protection locked="0"/>
    </xf>
    <xf numFmtId="187" fontId="13" fillId="0" borderId="2" xfId="149" applyNumberFormat="1" applyFont="1" applyFill="1" applyBorder="1" applyAlignment="1" applyProtection="1">
      <alignment horizontal="center" vertical="center"/>
      <protection locked="0"/>
    </xf>
    <xf numFmtId="187" fontId="13" fillId="0" borderId="40" xfId="149" applyNumberFormat="1" applyFont="1" applyFill="1" applyBorder="1" applyAlignment="1" applyProtection="1">
      <alignment horizontal="center" vertical="center"/>
      <protection locked="0"/>
    </xf>
    <xf numFmtId="187" fontId="13" fillId="0" borderId="26" xfId="149" applyNumberFormat="1" applyFont="1" applyFill="1" applyBorder="1" applyAlignment="1" applyProtection="1">
      <alignment horizontal="center" vertical="center"/>
      <protection locked="0"/>
    </xf>
    <xf numFmtId="187" fontId="4" fillId="0" borderId="0" xfId="149" applyNumberFormat="1" applyFont="1" applyFill="1" applyAlignment="1" applyProtection="1">
      <alignment horizontal="center" vertical="center"/>
      <protection locked="0"/>
    </xf>
    <xf numFmtId="188" fontId="4" fillId="0" borderId="2" xfId="149" applyNumberFormat="1" applyFont="1" applyFill="1" applyBorder="1" applyAlignment="1" applyProtection="1">
      <alignment horizontal="center" vertical="center"/>
      <protection locked="0"/>
    </xf>
    <xf numFmtId="180" fontId="4" fillId="0" borderId="33" xfId="149" applyNumberFormat="1" applyFont="1" applyFill="1" applyBorder="1" applyAlignment="1" applyProtection="1">
      <alignment horizontal="right" vertical="center"/>
      <protection locked="0"/>
    </xf>
    <xf numFmtId="180" fontId="7" fillId="0" borderId="26" xfId="149" applyNumberFormat="1" applyFont="1" applyFill="1" applyBorder="1" applyAlignment="1" applyProtection="1">
      <alignment horizontal="left" vertical="center"/>
      <protection locked="0"/>
    </xf>
    <xf numFmtId="180" fontId="4" fillId="0" borderId="2" xfId="149" applyNumberFormat="1" applyFont="1" applyFill="1" applyBorder="1" applyAlignment="1" applyProtection="1">
      <alignment horizontal="right" vertical="center"/>
      <protection locked="0"/>
    </xf>
    <xf numFmtId="187" fontId="4" fillId="0" borderId="41" xfId="149" applyNumberFormat="1" applyFont="1" applyFill="1" applyBorder="1" applyAlignment="1" applyProtection="1">
      <alignment horizontal="left" vertical="center"/>
      <protection locked="0"/>
    </xf>
    <xf numFmtId="180" fontId="4" fillId="0" borderId="2" xfId="147" applyNumberFormat="1" applyFont="1" applyFill="1" applyBorder="1" applyAlignment="1" applyProtection="1">
      <alignment horizontal="right" vertical="center"/>
      <protection locked="0"/>
    </xf>
    <xf numFmtId="180" fontId="4" fillId="0" borderId="26" xfId="149" applyNumberFormat="1" applyFont="1" applyFill="1" applyBorder="1" applyAlignment="1" applyProtection="1">
      <alignment horizontal="left" vertical="center"/>
      <protection locked="0"/>
    </xf>
    <xf numFmtId="187" fontId="49" fillId="0" borderId="41" xfId="149" applyNumberFormat="1" applyFont="1" applyFill="1" applyBorder="1" applyAlignment="1" applyProtection="1">
      <alignment horizontal="center" vertical="center"/>
      <protection locked="0"/>
    </xf>
    <xf numFmtId="180" fontId="49" fillId="0" borderId="26" xfId="149" applyNumberFormat="1" applyFont="1" applyFill="1" applyBorder="1" applyAlignment="1" applyProtection="1">
      <alignment horizontal="center" vertical="center"/>
      <protection locked="0"/>
    </xf>
    <xf numFmtId="180" fontId="7" fillId="0" borderId="2" xfId="149" applyNumberFormat="1" applyFont="1" applyFill="1" applyBorder="1" applyAlignment="1" applyProtection="1">
      <alignment horizontal="left" vertical="center"/>
      <protection locked="0"/>
    </xf>
    <xf numFmtId="180" fontId="49" fillId="12" borderId="26" xfId="149" applyNumberFormat="1" applyFont="1" applyFill="1" applyBorder="1" applyAlignment="1" applyProtection="1">
      <alignment horizontal="center" vertical="center"/>
      <protection locked="0"/>
    </xf>
    <xf numFmtId="180" fontId="49" fillId="12" borderId="2" xfId="149" applyNumberFormat="1" applyFont="1" applyFill="1" applyBorder="1" applyAlignment="1" applyProtection="1">
      <alignment horizontal="right" vertical="center"/>
      <protection locked="0"/>
    </xf>
    <xf numFmtId="180" fontId="49" fillId="0" borderId="2" xfId="149" applyNumberFormat="1" applyFont="1" applyFill="1" applyBorder="1" applyAlignment="1" applyProtection="1">
      <alignment horizontal="left" vertical="center"/>
      <protection locked="0"/>
    </xf>
    <xf numFmtId="180" fontId="49" fillId="12" borderId="2" xfId="147" applyNumberFormat="1" applyFont="1" applyFill="1" applyBorder="1" applyAlignment="1" applyProtection="1">
      <alignment horizontal="right" vertical="center"/>
      <protection locked="0"/>
    </xf>
    <xf numFmtId="180" fontId="49" fillId="0" borderId="2" xfId="147" applyNumberFormat="1" applyFont="1" applyFill="1" applyBorder="1" applyAlignment="1" applyProtection="1">
      <alignment horizontal="left" vertical="center"/>
      <protection locked="0"/>
    </xf>
    <xf numFmtId="187" fontId="49" fillId="12" borderId="34" xfId="207" applyNumberFormat="1" applyFont="1" applyFill="1" applyBorder="1" applyAlignment="1" applyProtection="1">
      <alignment horizontal="center" vertical="center"/>
      <protection locked="0"/>
    </xf>
    <xf numFmtId="180" fontId="49" fillId="12" borderId="1" xfId="149" applyNumberFormat="1" applyFont="1" applyFill="1" applyBorder="1" applyAlignment="1" applyProtection="1">
      <alignment horizontal="right" vertical="center"/>
      <protection locked="0"/>
    </xf>
    <xf numFmtId="180" fontId="49" fillId="12" borderId="40" xfId="149" applyNumberFormat="1" applyFont="1" applyFill="1" applyBorder="1" applyAlignment="1" applyProtection="1">
      <alignment horizontal="left" vertical="center"/>
      <protection locked="0"/>
    </xf>
    <xf numFmtId="187" fontId="4" fillId="0" borderId="34" xfId="149" applyNumberFormat="1" applyFont="1" applyFill="1" applyBorder="1" applyAlignment="1" applyProtection="1">
      <alignment horizontal="left" vertical="center"/>
      <protection locked="0"/>
    </xf>
    <xf numFmtId="187" fontId="7" fillId="0" borderId="0" xfId="149" applyNumberFormat="1" applyFont="1" applyFill="1" applyBorder="1" applyAlignment="1" applyProtection="1">
      <alignment horizontal="left" vertical="center"/>
      <protection locked="0"/>
    </xf>
    <xf numFmtId="187" fontId="7" fillId="0" borderId="0" xfId="149" applyNumberFormat="1" applyFont="1" applyFill="1" applyAlignment="1" applyProtection="1">
      <alignment horizontal="left" vertical="center"/>
      <protection locked="0"/>
    </xf>
    <xf numFmtId="187" fontId="7" fillId="0" borderId="0" xfId="149" applyNumberFormat="1" applyFont="1" applyFill="1" applyBorder="1" applyAlignment="1" applyProtection="1">
      <alignment horizontal="right" vertical="center"/>
      <protection locked="0"/>
    </xf>
    <xf numFmtId="187" fontId="4" fillId="0" borderId="41" xfId="149" applyNumberFormat="1" applyFont="1" applyFill="1" applyBorder="1" applyAlignment="1" applyProtection="1">
      <alignment horizontal="left" vertical="center" indent="1"/>
      <protection locked="0"/>
    </xf>
    <xf numFmtId="187" fontId="4" fillId="0" borderId="34" xfId="207" applyNumberFormat="1" applyFont="1" applyFill="1" applyBorder="1" applyAlignment="1" applyProtection="1">
      <alignment vertical="center"/>
      <protection locked="0"/>
    </xf>
    <xf numFmtId="180" fontId="13" fillId="12" borderId="4" xfId="207" applyNumberFormat="1" applyFont="1" applyFill="1" applyBorder="1" applyAlignment="1" applyProtection="1">
      <alignment horizontal="center" vertical="center"/>
      <protection locked="0"/>
    </xf>
    <xf numFmtId="184" fontId="14" fillId="13" borderId="0" xfId="219" applyNumberFormat="1" applyFill="1" applyAlignment="1" applyProtection="1">
      <alignment horizontal="left" vertical="center" shrinkToFit="1"/>
      <protection locked="0" hidden="1"/>
    </xf>
    <xf numFmtId="0" fontId="49" fillId="12" borderId="1" xfId="149" applyNumberFormat="1" applyFont="1" applyFill="1" applyBorder="1" applyAlignment="1" applyProtection="1">
      <alignment horizontal="center" vertical="center"/>
      <protection locked="0"/>
    </xf>
    <xf numFmtId="188" fontId="4" fillId="12" borderId="2" xfId="149" applyNumberFormat="1" applyFont="1" applyFill="1" applyBorder="1" applyAlignment="1" applyProtection="1">
      <alignment horizontal="center" vertical="center"/>
      <protection locked="0"/>
    </xf>
    <xf numFmtId="0" fontId="39" fillId="0" borderId="2" xfId="219" applyFont="1" applyBorder="1" applyAlignment="1" applyProtection="1">
      <alignment horizontal="left" vertical="center" indent="2"/>
    </xf>
    <xf numFmtId="0" fontId="36" fillId="0" borderId="0" xfId="219" applyFont="1" applyFill="1" applyAlignment="1" applyProtection="1">
      <alignment horizontal="left" vertical="center"/>
    </xf>
    <xf numFmtId="0" fontId="7" fillId="0" borderId="2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201" applyNumberFormat="1" applyFont="1" applyFill="1" applyBorder="1" applyAlignment="1">
      <alignment horizontal="right" vertical="center" wrapText="1"/>
    </xf>
    <xf numFmtId="0" fontId="4" fillId="0" borderId="2" xfId="201" applyNumberFormat="1" applyFont="1" applyFill="1" applyBorder="1" applyAlignment="1">
      <alignment horizontal="right" vertical="center"/>
    </xf>
    <xf numFmtId="43" fontId="29" fillId="29" borderId="2" xfId="0" applyNumberFormat="1" applyFont="1" applyFill="1" applyBorder="1" applyAlignment="1">
      <alignment horizontal="right" vertical="center"/>
    </xf>
    <xf numFmtId="180" fontId="28" fillId="29" borderId="2" xfId="0" applyNumberFormat="1" applyFont="1" applyFill="1" applyBorder="1" applyAlignment="1">
      <alignment horizontal="center" vertical="center" wrapText="1"/>
    </xf>
    <xf numFmtId="0" fontId="7" fillId="0" borderId="1" xfId="0" applyFont="1" applyBorder="1" applyAlignment="1">
      <alignment vertical="center"/>
    </xf>
    <xf numFmtId="0" fontId="7" fillId="0" borderId="0" xfId="0" applyFont="1" applyAlignment="1">
      <alignment horizontal="center" vertical="center" wrapText="1"/>
    </xf>
    <xf numFmtId="0" fontId="61" fillId="0" borderId="0" xfId="217" applyFont="1" applyAlignment="1">
      <alignment vertical="center"/>
    </xf>
    <xf numFmtId="182" fontId="4" fillId="0" borderId="0" xfId="217" applyNumberFormat="1" applyFont="1" applyAlignment="1">
      <alignment horizontal="center" vertical="center"/>
    </xf>
    <xf numFmtId="0" fontId="4" fillId="0" borderId="0" xfId="217" applyFont="1" applyAlignment="1">
      <alignment vertical="center"/>
    </xf>
    <xf numFmtId="0" fontId="7" fillId="0" borderId="2" xfId="217" applyFont="1" applyBorder="1" applyAlignment="1">
      <alignment horizontal="center" vertical="center"/>
    </xf>
    <xf numFmtId="0" fontId="7" fillId="0" borderId="2" xfId="217" applyFont="1" applyBorder="1" applyAlignment="1">
      <alignment horizontal="center" vertical="center" wrapText="1"/>
    </xf>
    <xf numFmtId="0" fontId="4" fillId="0" borderId="2" xfId="217" applyFont="1" applyBorder="1" applyAlignment="1">
      <alignment horizontal="center" vertical="center"/>
    </xf>
    <xf numFmtId="0" fontId="4" fillId="0" borderId="0" xfId="217" applyFont="1" applyAlignment="1">
      <alignment horizontal="center" vertical="center"/>
    </xf>
    <xf numFmtId="0" fontId="7" fillId="0" borderId="26" xfId="217" applyFont="1" applyBorder="1" applyAlignment="1">
      <alignment horizontal="center" vertical="center"/>
    </xf>
    <xf numFmtId="0" fontId="4" fillId="0" borderId="2" xfId="217" applyFont="1" applyBorder="1" applyAlignment="1">
      <alignment horizontal="left" vertical="center"/>
    </xf>
    <xf numFmtId="14" fontId="4" fillId="0" borderId="2" xfId="217" applyNumberFormat="1" applyFont="1" applyBorder="1" applyAlignment="1">
      <alignment horizontal="center" vertical="center"/>
    </xf>
    <xf numFmtId="0" fontId="4" fillId="0" borderId="2" xfId="217" applyFont="1" applyBorder="1" applyAlignment="1">
      <alignment horizontal="right" vertical="center"/>
    </xf>
    <xf numFmtId="43" fontId="4" fillId="0" borderId="2" xfId="217" applyNumberFormat="1" applyFont="1" applyBorder="1" applyAlignment="1">
      <alignment horizontal="right" vertical="center"/>
    </xf>
    <xf numFmtId="43" fontId="4" fillId="0" borderId="26" xfId="217" applyNumberFormat="1" applyFont="1" applyBorder="1" applyAlignment="1">
      <alignment horizontal="right" vertical="center"/>
    </xf>
    <xf numFmtId="0" fontId="4" fillId="0" borderId="2" xfId="217" applyNumberFormat="1" applyFont="1" applyBorder="1" applyAlignment="1">
      <alignment horizontal="center" vertical="center"/>
    </xf>
    <xf numFmtId="0" fontId="1" fillId="0" borderId="26" xfId="217" applyBorder="1"/>
    <xf numFmtId="0" fontId="7" fillId="0" borderId="4" xfId="217" applyFont="1" applyBorder="1" applyAlignment="1">
      <alignment horizontal="center" vertical="center"/>
    </xf>
    <xf numFmtId="0" fontId="4" fillId="0" borderId="2" xfId="217" applyFont="1" applyBorder="1" applyAlignment="1">
      <alignment vertical="center"/>
    </xf>
    <xf numFmtId="0" fontId="61" fillId="0" borderId="0" xfId="217" applyFont="1" applyAlignment="1">
      <alignment vertical="center" wrapText="1"/>
    </xf>
    <xf numFmtId="0" fontId="4" fillId="0" borderId="0" xfId="217" applyNumberFormat="1" applyFont="1" applyAlignment="1">
      <alignment vertical="center"/>
    </xf>
    <xf numFmtId="0" fontId="7" fillId="0" borderId="0" xfId="217" applyFont="1" applyAlignment="1">
      <alignment horizontal="right" vertical="center"/>
    </xf>
    <xf numFmtId="43" fontId="4" fillId="0" borderId="26" xfId="217" applyNumberFormat="1" applyFont="1" applyBorder="1" applyAlignment="1">
      <alignment horizontal="center" vertical="center"/>
    </xf>
    <xf numFmtId="0" fontId="4" fillId="29" borderId="2" xfId="217" applyFont="1" applyFill="1" applyBorder="1" applyAlignment="1">
      <alignment horizontal="left" vertical="center"/>
    </xf>
    <xf numFmtId="0" fontId="4" fillId="0" borderId="0" xfId="217" applyNumberFormat="1" applyFont="1" applyAlignment="1">
      <alignment horizontal="center" vertical="center"/>
    </xf>
    <xf numFmtId="0" fontId="7" fillId="0" borderId="2" xfId="217" applyFont="1" applyFill="1" applyBorder="1" applyAlignment="1">
      <alignment horizontal="center" vertical="center" wrapText="1"/>
    </xf>
    <xf numFmtId="0" fontId="7" fillId="0" borderId="26" xfId="217" applyFont="1" applyBorder="1" applyAlignment="1">
      <alignment horizontal="center" vertical="center" wrapText="1"/>
    </xf>
    <xf numFmtId="0" fontId="4" fillId="0" borderId="0" xfId="217" applyFont="1" applyAlignment="1">
      <alignment horizontal="center" vertical="center" wrapText="1"/>
    </xf>
    <xf numFmtId="0" fontId="4" fillId="0" borderId="2" xfId="217" applyFont="1" applyFill="1" applyBorder="1" applyAlignment="1">
      <alignment horizontal="left" vertical="center"/>
    </xf>
    <xf numFmtId="0" fontId="1" fillId="0" borderId="0" xfId="217"/>
    <xf numFmtId="0" fontId="7" fillId="0" borderId="2" xfId="217" applyFont="1" applyBorder="1" applyAlignment="1">
      <alignment horizontal="left" vertical="center" wrapText="1"/>
    </xf>
    <xf numFmtId="49" fontId="4" fillId="0" borderId="0" xfId="217" applyNumberFormat="1"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4" fillId="0" borderId="0" xfId="219" applyAlignment="1" applyProtection="1"/>
    <xf numFmtId="49" fontId="30" fillId="0" borderId="2" xfId="0" applyNumberFormat="1" applyFont="1" applyBorder="1" applyAlignment="1">
      <alignment horizontal="left" vertical="center"/>
    </xf>
    <xf numFmtId="0" fontId="7" fillId="0" borderId="26" xfId="0" applyFont="1" applyBorder="1" applyAlignment="1">
      <alignment horizontal="center" vertical="center" wrapText="1"/>
    </xf>
    <xf numFmtId="0" fontId="39" fillId="0" borderId="2" xfId="0" applyFont="1" applyBorder="1" applyAlignment="1">
      <alignment horizontal="center" vertical="center" wrapText="1"/>
    </xf>
    <xf numFmtId="0" fontId="4" fillId="0" borderId="0" xfId="0" applyFont="1" applyAlignment="1">
      <alignment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34" xfId="0" applyNumberFormat="1" applyFont="1" applyBorder="1" applyAlignment="1">
      <alignment horizontal="center" vertical="center" wrapText="1"/>
    </xf>
    <xf numFmtId="0" fontId="4" fillId="0" borderId="0" xfId="217" applyFont="1" applyAlignment="1">
      <alignment vertical="center" wrapText="1"/>
    </xf>
    <xf numFmtId="0" fontId="7" fillId="0" borderId="0" xfId="217" applyFont="1" applyAlignment="1">
      <alignment horizontal="right" vertical="center" wrapText="1"/>
    </xf>
    <xf numFmtId="0" fontId="1" fillId="0" borderId="0" xfId="217" applyAlignment="1">
      <alignment wrapText="1"/>
    </xf>
    <xf numFmtId="180" fontId="7" fillId="0" borderId="2" xfId="0" applyNumberFormat="1" applyFont="1" applyBorder="1" applyAlignment="1">
      <alignment horizontal="center" vertical="center" wrapText="1"/>
    </xf>
    <xf numFmtId="0" fontId="7" fillId="0" borderId="2" xfId="0" applyFont="1" applyBorder="1" applyAlignment="1" applyProtection="1">
      <alignment horizontal="center" vertical="center" wrapText="1"/>
    </xf>
    <xf numFmtId="0" fontId="1" fillId="0" borderId="0" xfId="217" applyAlignment="1"/>
    <xf numFmtId="180" fontId="4" fillId="0" borderId="0" xfId="0" applyNumberFormat="1" applyFont="1" applyFill="1" applyBorder="1" applyAlignment="1">
      <alignment horizontal="center" vertical="center"/>
    </xf>
    <xf numFmtId="180" fontId="28" fillId="29" borderId="0" xfId="0" applyNumberFormat="1" applyFont="1" applyFill="1" applyBorder="1" applyAlignment="1">
      <alignment horizontal="center" vertical="center"/>
    </xf>
    <xf numFmtId="0" fontId="106" fillId="0" borderId="0" xfId="205" applyFont="1" applyFill="1" applyAlignment="1">
      <alignment vertical="center"/>
    </xf>
    <xf numFmtId="0" fontId="107" fillId="0" borderId="0" xfId="205" applyFont="1" applyFill="1" applyAlignment="1">
      <alignment vertical="center"/>
    </xf>
    <xf numFmtId="0" fontId="6" fillId="0" borderId="0" xfId="204" applyFont="1" applyFill="1" applyAlignment="1">
      <alignment horizontal="left" vertical="center"/>
    </xf>
    <xf numFmtId="43" fontId="6" fillId="0" borderId="0" xfId="246" applyFont="1" applyFill="1" applyAlignment="1">
      <alignment horizontal="right" vertical="center"/>
    </xf>
    <xf numFmtId="0" fontId="13" fillId="0" borderId="2" xfId="203" applyFont="1" applyFill="1" applyBorder="1" applyAlignment="1">
      <alignment horizontal="center" vertical="center"/>
    </xf>
    <xf numFmtId="0" fontId="3" fillId="0" borderId="0" xfId="205" applyFont="1" applyFill="1" applyAlignment="1">
      <alignment vertical="center"/>
    </xf>
    <xf numFmtId="0" fontId="13" fillId="0" borderId="2" xfId="198" applyFont="1" applyFill="1" applyBorder="1" applyAlignment="1">
      <alignment horizontal="left" vertical="center"/>
    </xf>
    <xf numFmtId="181" fontId="3" fillId="0" borderId="2" xfId="205" applyNumberFormat="1" applyFont="1" applyFill="1" applyBorder="1" applyAlignment="1">
      <alignment horizontal="right" vertical="center"/>
    </xf>
    <xf numFmtId="43" fontId="3" fillId="0" borderId="2" xfId="246" applyFont="1" applyFill="1" applyBorder="1" applyAlignment="1">
      <alignment horizontal="right" vertical="center"/>
    </xf>
    <xf numFmtId="0" fontId="7" fillId="0" borderId="2" xfId="198" applyFont="1" applyFill="1" applyBorder="1" applyAlignment="1">
      <alignment vertical="center"/>
    </xf>
    <xf numFmtId="0" fontId="13" fillId="12" borderId="2" xfId="198" applyFont="1" applyFill="1" applyBorder="1" applyAlignment="1">
      <alignment horizontal="left" vertical="center"/>
    </xf>
    <xf numFmtId="181" fontId="3" fillId="12" borderId="2" xfId="205" applyNumberFormat="1" applyFont="1" applyFill="1" applyBorder="1" applyAlignment="1">
      <alignment horizontal="right" vertical="center"/>
    </xf>
    <xf numFmtId="43" fontId="3" fillId="12" borderId="2" xfId="246" applyFont="1" applyFill="1" applyBorder="1" applyAlignment="1">
      <alignment horizontal="right" vertical="center"/>
    </xf>
    <xf numFmtId="181" fontId="6" fillId="0" borderId="0" xfId="205" quotePrefix="1" applyNumberFormat="1" applyFont="1" applyFill="1" applyBorder="1" applyAlignment="1">
      <alignment horizontal="left" vertical="center"/>
    </xf>
    <xf numFmtId="181" fontId="107" fillId="0" borderId="0" xfId="205" applyNumberFormat="1" applyFont="1" applyFill="1" applyBorder="1" applyAlignment="1">
      <alignment horizontal="right" vertical="center"/>
    </xf>
    <xf numFmtId="43" fontId="107" fillId="0" borderId="0" xfId="246" applyFont="1" applyFill="1" applyAlignment="1">
      <alignment vertical="center"/>
    </xf>
    <xf numFmtId="0" fontId="7" fillId="0" borderId="0" xfId="205" applyFont="1" applyFill="1" applyBorder="1" applyAlignment="1">
      <alignment horizontal="left" vertical="center"/>
    </xf>
    <xf numFmtId="0" fontId="107" fillId="0" borderId="0" xfId="205" applyFont="1" applyFill="1" applyAlignment="1">
      <alignment horizontal="left" vertical="center"/>
    </xf>
    <xf numFmtId="0" fontId="106" fillId="0" borderId="0" xfId="205" applyFont="1" applyFill="1" applyAlignment="1">
      <alignment horizontal="left" vertical="center"/>
    </xf>
    <xf numFmtId="43" fontId="106" fillId="0" borderId="0" xfId="246" applyFont="1" applyFill="1" applyAlignment="1">
      <alignment vertical="center"/>
    </xf>
    <xf numFmtId="40" fontId="13" fillId="0" borderId="2" xfId="203" applyNumberFormat="1" applyFont="1" applyFill="1" applyBorder="1" applyAlignment="1">
      <alignment horizontal="center" vertical="center"/>
    </xf>
    <xf numFmtId="43" fontId="13" fillId="0" borderId="2" xfId="246" applyFont="1" applyFill="1" applyBorder="1" applyAlignment="1">
      <alignment horizontal="center" vertical="center"/>
    </xf>
    <xf numFmtId="14" fontId="108" fillId="0" borderId="2" xfId="261" applyNumberFormat="1" applyFont="1" applyFill="1" applyBorder="1" applyAlignment="1" applyProtection="1">
      <alignment horizontal="center" vertical="center"/>
      <protection locked="0"/>
    </xf>
    <xf numFmtId="0" fontId="13" fillId="0" borderId="2" xfId="261" applyFont="1" applyFill="1" applyBorder="1" applyAlignment="1" applyProtection="1">
      <alignment horizontal="center" vertical="center"/>
      <protection locked="0"/>
    </xf>
    <xf numFmtId="10" fontId="4" fillId="0" borderId="2" xfId="172" applyNumberFormat="1" applyFont="1" applyFill="1" applyBorder="1" applyAlignment="1">
      <alignment vertical="center"/>
    </xf>
    <xf numFmtId="0" fontId="4" fillId="0" borderId="2" xfId="261" applyFont="1" applyFill="1" applyBorder="1" applyAlignment="1">
      <alignment vertical="center"/>
    </xf>
    <xf numFmtId="43" fontId="4" fillId="0" borderId="2" xfId="196" applyNumberFormat="1" applyFont="1" applyFill="1" applyBorder="1" applyAlignment="1">
      <alignment vertical="center"/>
    </xf>
    <xf numFmtId="216" fontId="4" fillId="0" borderId="2" xfId="246" applyNumberFormat="1" applyFont="1" applyFill="1" applyBorder="1" applyAlignment="1">
      <alignment vertical="center"/>
    </xf>
    <xf numFmtId="43" fontId="4" fillId="0" borderId="2" xfId="246" applyFont="1" applyFill="1" applyBorder="1" applyAlignment="1">
      <alignment vertical="center"/>
    </xf>
    <xf numFmtId="0" fontId="4" fillId="0" borderId="2" xfId="195" applyFont="1" applyFill="1" applyBorder="1" applyAlignment="1">
      <alignment vertical="center"/>
    </xf>
    <xf numFmtId="43" fontId="4" fillId="0" borderId="2" xfId="261" applyNumberFormat="1" applyFont="1" applyFill="1" applyBorder="1" applyAlignment="1">
      <alignment horizontal="right" vertical="center"/>
    </xf>
    <xf numFmtId="0" fontId="4" fillId="0" borderId="0" xfId="261" applyFont="1" applyFill="1" applyAlignment="1">
      <alignment vertical="center"/>
    </xf>
    <xf numFmtId="10" fontId="4" fillId="0" borderId="2" xfId="261" applyNumberFormat="1" applyFont="1" applyFill="1" applyBorder="1" applyAlignment="1">
      <alignment vertical="center"/>
    </xf>
    <xf numFmtId="0" fontId="7" fillId="0" borderId="4" xfId="196" applyFont="1" applyFill="1" applyBorder="1" applyAlignment="1">
      <alignment horizontal="center" vertical="center" wrapText="1"/>
    </xf>
    <xf numFmtId="0" fontId="4" fillId="0" borderId="4" xfId="196" applyFont="1" applyFill="1" applyBorder="1" applyAlignment="1">
      <alignment horizontal="center" vertical="center"/>
    </xf>
    <xf numFmtId="216" fontId="4" fillId="0" borderId="2" xfId="261" applyNumberFormat="1" applyFont="1" applyFill="1" applyBorder="1" applyAlignment="1">
      <alignment vertical="center"/>
    </xf>
    <xf numFmtId="43" fontId="109" fillId="0" borderId="0" xfId="246" applyFont="1" applyAlignment="1">
      <alignment horizontal="center"/>
    </xf>
    <xf numFmtId="0" fontId="4" fillId="0" borderId="0" xfId="0" applyFont="1"/>
    <xf numFmtId="43" fontId="109" fillId="0" borderId="0" xfId="246" applyFont="1"/>
    <xf numFmtId="43" fontId="4" fillId="0" borderId="0" xfId="246" applyFont="1"/>
    <xf numFmtId="0" fontId="7" fillId="0" borderId="33" xfId="0" applyFont="1" applyBorder="1" applyAlignment="1">
      <alignment horizontal="center" vertical="center"/>
    </xf>
    <xf numFmtId="49" fontId="4" fillId="0" borderId="33" xfId="0" applyNumberFormat="1" applyFont="1" applyBorder="1" applyAlignment="1">
      <alignment horizontal="left" vertical="center"/>
    </xf>
    <xf numFmtId="43" fontId="4" fillId="0" borderId="2" xfId="0" applyNumberFormat="1" applyFont="1" applyBorder="1" applyAlignment="1">
      <alignment horizontal="right" vertical="center" wrapText="1"/>
    </xf>
    <xf numFmtId="182" fontId="4" fillId="0" borderId="0" xfId="0" applyNumberFormat="1" applyFont="1" applyAlignment="1">
      <alignment vertical="center" wrapText="1"/>
    </xf>
    <xf numFmtId="0" fontId="4" fillId="0" borderId="0" xfId="201" applyFont="1" applyFill="1" applyAlignment="1">
      <alignment vertical="center" wrapText="1"/>
    </xf>
    <xf numFmtId="4" fontId="4" fillId="0" borderId="2" xfId="241" applyNumberFormat="1" applyFont="1" applyBorder="1" applyAlignment="1" applyProtection="1">
      <alignment horizontal="right" vertical="center"/>
      <protection locked="0"/>
    </xf>
    <xf numFmtId="9" fontId="4" fillId="0" borderId="2" xfId="172" applyFont="1" applyBorder="1" applyAlignment="1" applyProtection="1">
      <alignment horizontal="right" vertical="center"/>
      <protection locked="0"/>
    </xf>
    <xf numFmtId="9" fontId="4" fillId="0" borderId="23" xfId="172" applyFont="1" applyBorder="1" applyAlignment="1" applyProtection="1">
      <alignment horizontal="right" vertical="center"/>
      <protection locked="0"/>
    </xf>
    <xf numFmtId="10" fontId="4" fillId="0" borderId="2" xfId="172" applyNumberFormat="1" applyFont="1" applyBorder="1" applyAlignment="1" applyProtection="1">
      <alignment horizontal="center" vertical="center"/>
      <protection locked="0"/>
    </xf>
    <xf numFmtId="180" fontId="139" fillId="0" borderId="2" xfId="149" applyNumberFormat="1" applyFont="1" applyFill="1" applyBorder="1" applyAlignment="1" applyProtection="1">
      <alignment horizontal="right" vertical="center"/>
      <protection locked="0"/>
    </xf>
    <xf numFmtId="0" fontId="111" fillId="0" borderId="2" xfId="0" applyFont="1" applyBorder="1" applyAlignment="1">
      <alignment horizontal="center" vertical="center" wrapText="1"/>
    </xf>
    <xf numFmtId="0" fontId="111" fillId="0" borderId="33" xfId="0" applyFont="1" applyBorder="1" applyAlignment="1">
      <alignment horizontal="center" vertical="center"/>
    </xf>
    <xf numFmtId="0" fontId="140" fillId="0" borderId="33" xfId="0" applyFont="1" applyBorder="1" applyAlignment="1">
      <alignment horizontal="center" vertical="center"/>
    </xf>
    <xf numFmtId="0" fontId="111" fillId="0" borderId="33" xfId="0" applyFont="1" applyBorder="1" applyAlignment="1">
      <alignment horizontal="center" vertical="center" wrapText="1"/>
    </xf>
    <xf numFmtId="0" fontId="140" fillId="0" borderId="33" xfId="0" applyFont="1" applyBorder="1" applyAlignment="1">
      <alignment horizontal="center" vertical="center" wrapText="1"/>
    </xf>
    <xf numFmtId="0" fontId="139" fillId="0" borderId="0" xfId="217" applyFont="1" applyAlignment="1">
      <alignment horizontal="center" vertical="center"/>
    </xf>
    <xf numFmtId="0" fontId="141" fillId="0" borderId="2" xfId="0" applyFont="1" applyBorder="1" applyAlignment="1">
      <alignment horizontal="center" vertical="center" wrapText="1"/>
    </xf>
    <xf numFmtId="0" fontId="141" fillId="0" borderId="0" xfId="0" applyFont="1" applyAlignment="1">
      <alignment horizontal="center" vertical="center" wrapText="1"/>
    </xf>
    <xf numFmtId="182" fontId="4" fillId="0" borderId="0" xfId="209" applyNumberFormat="1" applyFont="1" applyFill="1" applyAlignment="1">
      <alignment vertical="center"/>
    </xf>
    <xf numFmtId="0" fontId="4" fillId="0" borderId="0" xfId="209" applyFont="1" applyFill="1" applyAlignment="1">
      <alignment vertical="center"/>
    </xf>
    <xf numFmtId="0" fontId="4" fillId="0" borderId="2" xfId="212" applyFont="1" applyFill="1" applyBorder="1" applyAlignment="1">
      <alignment horizontal="center" vertical="center"/>
    </xf>
    <xf numFmtId="1" fontId="7" fillId="0" borderId="2" xfId="200" applyNumberFormat="1" applyFont="1" applyFill="1" applyBorder="1" applyAlignment="1">
      <alignment horizontal="left" vertical="center" shrinkToFit="1"/>
    </xf>
    <xf numFmtId="0" fontId="7" fillId="0" borderId="2" xfId="200" applyFont="1" applyFill="1" applyBorder="1" applyAlignment="1">
      <alignment horizontal="center" vertical="center" wrapText="1"/>
    </xf>
    <xf numFmtId="0" fontId="4" fillId="0" borderId="2" xfId="200" applyFont="1" applyFill="1" applyBorder="1" applyAlignment="1">
      <alignment horizontal="center" vertical="center" wrapText="1"/>
    </xf>
    <xf numFmtId="49" fontId="4" fillId="0" borderId="2" xfId="200" applyNumberFormat="1" applyFont="1" applyFill="1" applyBorder="1" applyAlignment="1">
      <alignment horizontal="center" vertical="center" wrapText="1"/>
    </xf>
    <xf numFmtId="0" fontId="4" fillId="0" borderId="2" xfId="211" applyFont="1" applyFill="1" applyBorder="1" applyAlignment="1">
      <alignment vertical="center"/>
    </xf>
    <xf numFmtId="217" fontId="4" fillId="0" borderId="2" xfId="200" applyNumberFormat="1" applyFont="1" applyFill="1" applyBorder="1" applyAlignment="1">
      <alignment horizontal="center" vertical="center" wrapText="1"/>
    </xf>
    <xf numFmtId="43" fontId="4" fillId="0" borderId="2" xfId="247" applyFont="1" applyFill="1" applyBorder="1" applyAlignment="1">
      <alignment horizontal="center" vertical="center" wrapText="1"/>
    </xf>
    <xf numFmtId="183" fontId="4" fillId="0" borderId="2" xfId="212" applyNumberFormat="1" applyFont="1" applyFill="1" applyBorder="1" applyAlignment="1">
      <alignment horizontal="center" vertical="center"/>
    </xf>
    <xf numFmtId="181" fontId="4" fillId="0" borderId="2" xfId="200" applyNumberFormat="1" applyFont="1" applyFill="1" applyBorder="1" applyAlignment="1">
      <alignment horizontal="center" vertical="center" wrapText="1"/>
    </xf>
    <xf numFmtId="181" fontId="4" fillId="0" borderId="2" xfId="214" applyNumberFormat="1" applyFont="1" applyFill="1" applyBorder="1" applyAlignment="1">
      <alignment horizontal="center" vertical="center"/>
    </xf>
    <xf numFmtId="43" fontId="4" fillId="0" borderId="2" xfId="247" applyFont="1" applyFill="1" applyBorder="1" applyAlignment="1">
      <alignment horizontal="center" vertical="center"/>
    </xf>
    <xf numFmtId="216" fontId="39" fillId="0" borderId="2" xfId="247" applyNumberFormat="1" applyFont="1" applyFill="1" applyBorder="1" applyAlignment="1">
      <alignment horizontal="center" vertical="center" wrapText="1"/>
    </xf>
    <xf numFmtId="216" fontId="4" fillId="0" borderId="2" xfId="212" applyNumberFormat="1" applyFont="1" applyFill="1" applyBorder="1" applyAlignment="1">
      <alignment horizontal="right" vertical="center"/>
    </xf>
    <xf numFmtId="185" fontId="4" fillId="0" borderId="2" xfId="214" applyNumberFormat="1" applyFont="1" applyFill="1" applyBorder="1" applyAlignment="1">
      <alignment horizontal="center" vertical="center" wrapText="1"/>
    </xf>
    <xf numFmtId="0" fontId="7" fillId="0" borderId="2" xfId="214" applyFont="1" applyFill="1" applyBorder="1" applyAlignment="1">
      <alignment horizontal="center" vertical="center" wrapText="1"/>
    </xf>
    <xf numFmtId="0" fontId="4" fillId="0" borderId="0" xfId="214" applyFont="1" applyFill="1" applyAlignment="1">
      <alignment vertical="center"/>
    </xf>
    <xf numFmtId="9" fontId="4" fillId="0" borderId="0" xfId="214" applyNumberFormat="1" applyFont="1" applyFill="1" applyAlignment="1">
      <alignment vertical="center"/>
    </xf>
    <xf numFmtId="0" fontId="4" fillId="0" borderId="2" xfId="214" applyFont="1" applyFill="1" applyBorder="1" applyAlignment="1">
      <alignment horizontal="center" vertical="center" wrapText="1"/>
    </xf>
    <xf numFmtId="218" fontId="4" fillId="0" borderId="2" xfId="200" applyNumberFormat="1" applyFont="1" applyFill="1" applyBorder="1" applyAlignment="1">
      <alignment horizontal="center" vertical="center" wrapText="1"/>
    </xf>
    <xf numFmtId="219" fontId="4" fillId="0" borderId="2" xfId="200" applyNumberFormat="1" applyFont="1" applyFill="1" applyBorder="1" applyAlignment="1">
      <alignment horizontal="center" vertical="center" wrapText="1"/>
    </xf>
    <xf numFmtId="1" fontId="4" fillId="0" borderId="2" xfId="200" applyNumberFormat="1" applyFont="1" applyFill="1" applyBorder="1" applyAlignment="1">
      <alignment horizontal="left" vertical="center" shrinkToFit="1"/>
    </xf>
    <xf numFmtId="219" fontId="7" fillId="0" borderId="2" xfId="200" applyNumberFormat="1" applyFont="1" applyFill="1" applyBorder="1" applyAlignment="1">
      <alignment horizontal="center" vertical="center" wrapText="1"/>
    </xf>
    <xf numFmtId="0" fontId="7" fillId="0" borderId="2" xfId="212" applyFont="1" applyFill="1" applyBorder="1" applyAlignment="1">
      <alignment horizontal="center" vertical="center"/>
    </xf>
    <xf numFmtId="43" fontId="4" fillId="0" borderId="2" xfId="247" applyFont="1" applyFill="1" applyBorder="1" applyAlignment="1">
      <alignment horizontal="right" vertical="center" wrapText="1"/>
    </xf>
    <xf numFmtId="43" fontId="4" fillId="0" borderId="2" xfId="214" applyNumberFormat="1" applyFont="1" applyFill="1" applyBorder="1" applyAlignment="1">
      <alignment horizontal="center" vertical="center" wrapText="1"/>
    </xf>
    <xf numFmtId="183" fontId="4" fillId="0" borderId="33" xfId="212" applyNumberFormat="1" applyFont="1" applyFill="1" applyBorder="1" applyAlignment="1">
      <alignment horizontal="center" vertical="center"/>
    </xf>
    <xf numFmtId="0" fontId="7" fillId="0" borderId="2" xfId="214" applyFont="1" applyFill="1" applyBorder="1" applyAlignment="1">
      <alignment horizontal="center" vertical="center" wrapText="1" shrinkToFit="1"/>
    </xf>
    <xf numFmtId="43" fontId="4" fillId="0" borderId="2" xfId="212" applyNumberFormat="1" applyFont="1" applyFill="1" applyBorder="1" applyAlignment="1">
      <alignment horizontal="right" vertical="center"/>
    </xf>
    <xf numFmtId="0" fontId="9" fillId="0" borderId="0" xfId="214" applyFont="1" applyFill="1" applyAlignment="1">
      <alignment vertical="center"/>
    </xf>
    <xf numFmtId="0" fontId="5" fillId="0" borderId="0" xfId="213" applyFont="1" applyFill="1" applyBorder="1" applyAlignment="1">
      <alignment vertical="center"/>
    </xf>
    <xf numFmtId="0" fontId="5" fillId="0" borderId="0" xfId="213" applyFont="1" applyFill="1" applyAlignment="1">
      <alignment vertical="center"/>
    </xf>
    <xf numFmtId="49" fontId="4" fillId="0" borderId="0" xfId="0" applyNumberFormat="1" applyFont="1" applyFill="1" applyBorder="1" applyAlignment="1">
      <alignment horizontal="left" vertical="center"/>
    </xf>
    <xf numFmtId="0" fontId="9" fillId="0" borderId="0" xfId="214" applyFont="1" applyFill="1" applyBorder="1" applyAlignment="1">
      <alignment vertical="center"/>
    </xf>
    <xf numFmtId="0" fontId="6" fillId="0" borderId="0" xfId="202" applyFont="1" applyFill="1">
      <alignment vertical="center"/>
    </xf>
    <xf numFmtId="0" fontId="112" fillId="0" borderId="0" xfId="202" applyFont="1" applyFill="1">
      <alignment vertical="center"/>
    </xf>
    <xf numFmtId="0" fontId="6" fillId="0" borderId="0" xfId="202" applyFont="1" applyFill="1" applyBorder="1">
      <alignment vertical="center"/>
    </xf>
    <xf numFmtId="1" fontId="6" fillId="0" borderId="0" xfId="206" applyNumberFormat="1" applyFont="1" applyFill="1" applyBorder="1" applyAlignment="1">
      <alignment horizontal="center" vertical="center"/>
    </xf>
    <xf numFmtId="182" fontId="49" fillId="0" borderId="0" xfId="189" applyNumberFormat="1" applyFont="1" applyFill="1" applyAlignment="1">
      <alignment vertical="center"/>
    </xf>
    <xf numFmtId="191" fontId="6" fillId="0" borderId="0" xfId="202" applyNumberFormat="1" applyFont="1" applyFill="1">
      <alignment vertical="center"/>
    </xf>
    <xf numFmtId="0" fontId="53" fillId="0" borderId="0" xfId="212" applyFont="1" applyFill="1"/>
    <xf numFmtId="0" fontId="112" fillId="0" borderId="0" xfId="202" applyFont="1" applyFill="1" applyAlignment="1">
      <alignment horizontal="right" vertical="center"/>
    </xf>
    <xf numFmtId="0" fontId="49" fillId="0" borderId="0" xfId="214" applyFont="1" applyFill="1" applyAlignment="1">
      <alignment vertical="center"/>
    </xf>
    <xf numFmtId="0" fontId="49" fillId="0" borderId="0" xfId="214" applyFont="1" applyFill="1" applyAlignment="1">
      <alignment horizontal="center" vertical="center" wrapText="1"/>
    </xf>
    <xf numFmtId="43" fontId="13" fillId="0" borderId="2" xfId="247" applyFont="1" applyFill="1" applyBorder="1" applyAlignment="1">
      <alignment horizontal="center" vertical="center"/>
    </xf>
    <xf numFmtId="181" fontId="13" fillId="0" borderId="2" xfId="214" applyNumberFormat="1" applyFont="1" applyFill="1" applyBorder="1" applyAlignment="1">
      <alignment horizontal="center" vertical="center"/>
    </xf>
    <xf numFmtId="185" fontId="13" fillId="0" borderId="2" xfId="214" applyNumberFormat="1" applyFont="1" applyFill="1" applyBorder="1" applyAlignment="1">
      <alignment horizontal="center" vertical="center" wrapText="1"/>
    </xf>
    <xf numFmtId="0" fontId="7" fillId="0" borderId="0" xfId="214" applyFont="1" applyFill="1" applyAlignment="1">
      <alignment vertical="center"/>
    </xf>
    <xf numFmtId="49" fontId="4" fillId="0" borderId="2" xfId="212" applyNumberFormat="1" applyFont="1" applyFill="1" applyBorder="1" applyAlignment="1">
      <alignment horizontal="center" vertical="center"/>
    </xf>
    <xf numFmtId="0" fontId="4" fillId="0" borderId="2" xfId="214" applyFont="1" applyFill="1" applyBorder="1" applyAlignment="1">
      <alignment vertical="center"/>
    </xf>
    <xf numFmtId="43" fontId="4" fillId="0" borderId="2" xfId="214" applyNumberFormat="1" applyFont="1" applyFill="1" applyBorder="1" applyAlignment="1">
      <alignment vertical="center"/>
    </xf>
    <xf numFmtId="49" fontId="5" fillId="0" borderId="0" xfId="213" applyNumberFormat="1" applyFont="1" applyFill="1" applyAlignment="1">
      <alignment vertical="center"/>
    </xf>
    <xf numFmtId="43" fontId="9" fillId="0" borderId="0" xfId="247" applyFont="1" applyFill="1" applyAlignment="1">
      <alignment vertical="center"/>
    </xf>
    <xf numFmtId="49" fontId="4" fillId="0" borderId="0" xfId="214" applyNumberFormat="1" applyFont="1" applyFill="1" applyAlignment="1">
      <alignment vertical="center"/>
    </xf>
    <xf numFmtId="49" fontId="4" fillId="32" borderId="0" xfId="0" applyNumberFormat="1" applyFont="1" applyFill="1" applyBorder="1" applyAlignment="1">
      <alignment horizontal="left" vertical="center"/>
    </xf>
    <xf numFmtId="0" fontId="4" fillId="32" borderId="0" xfId="209" applyFont="1" applyFill="1" applyAlignment="1">
      <alignment vertical="center"/>
    </xf>
    <xf numFmtId="0" fontId="7" fillId="32" borderId="2" xfId="200" applyFont="1" applyFill="1" applyBorder="1" applyAlignment="1">
      <alignment horizontal="center" vertical="center" wrapText="1"/>
    </xf>
    <xf numFmtId="0" fontId="4" fillId="32" borderId="2" xfId="200" applyFont="1" applyFill="1" applyBorder="1" applyAlignment="1">
      <alignment horizontal="center" vertical="center" wrapText="1"/>
    </xf>
    <xf numFmtId="0" fontId="5" fillId="32" borderId="0" xfId="213" applyFont="1" applyFill="1" applyAlignment="1">
      <alignment horizontal="left" vertical="center"/>
    </xf>
    <xf numFmtId="0" fontId="4" fillId="32" borderId="0" xfId="209" applyFont="1" applyFill="1" applyAlignment="1">
      <alignment horizontal="center" vertical="center"/>
    </xf>
    <xf numFmtId="0" fontId="72" fillId="32" borderId="0" xfId="209" applyFont="1" applyFill="1" applyAlignment="1">
      <alignment horizontal="center" vertical="center"/>
    </xf>
    <xf numFmtId="0" fontId="13" fillId="32" borderId="2" xfId="200" applyFont="1" applyFill="1" applyBorder="1" applyAlignment="1">
      <alignment horizontal="center" vertical="center" wrapText="1"/>
    </xf>
    <xf numFmtId="0" fontId="113" fillId="32" borderId="2" xfId="200" applyFont="1" applyFill="1" applyBorder="1" applyAlignment="1">
      <alignment horizontal="center" vertical="center" wrapText="1"/>
    </xf>
    <xf numFmtId="0" fontId="49" fillId="32" borderId="2" xfId="213" applyFont="1" applyFill="1" applyBorder="1" applyAlignment="1">
      <alignment horizontal="center" vertical="center"/>
    </xf>
    <xf numFmtId="0" fontId="49" fillId="32" borderId="2" xfId="200" applyFont="1" applyFill="1" applyBorder="1" applyAlignment="1">
      <alignment horizontal="center" vertical="center" wrapText="1"/>
    </xf>
    <xf numFmtId="0" fontId="4" fillId="32" borderId="33" xfId="200" applyFont="1" applyFill="1" applyBorder="1" applyAlignment="1">
      <alignment horizontal="center" vertical="center" wrapText="1"/>
    </xf>
    <xf numFmtId="0" fontId="5" fillId="32" borderId="0" xfId="213" applyFont="1" applyFill="1" applyAlignment="1">
      <alignment vertical="center"/>
    </xf>
    <xf numFmtId="217" fontId="4" fillId="32" borderId="2" xfId="200" applyNumberFormat="1" applyFont="1" applyFill="1" applyBorder="1" applyAlignment="1">
      <alignment horizontal="center" vertical="center" wrapText="1"/>
    </xf>
    <xf numFmtId="0" fontId="4" fillId="32" borderId="2" xfId="212" applyFont="1" applyFill="1" applyBorder="1" applyAlignment="1">
      <alignment horizontal="center"/>
    </xf>
    <xf numFmtId="0" fontId="4" fillId="32" borderId="2" xfId="212" applyFont="1" applyFill="1" applyBorder="1" applyAlignment="1">
      <alignment horizontal="center" vertical="center"/>
    </xf>
    <xf numFmtId="0" fontId="4" fillId="32" borderId="33" xfId="212" applyFont="1" applyFill="1" applyBorder="1" applyAlignment="1">
      <alignment horizontal="center" vertical="center"/>
    </xf>
    <xf numFmtId="217" fontId="4" fillId="32" borderId="33" xfId="200" applyNumberFormat="1" applyFont="1" applyFill="1" applyBorder="1" applyAlignment="1">
      <alignment horizontal="center" vertical="center" wrapText="1"/>
    </xf>
    <xf numFmtId="0" fontId="6" fillId="32" borderId="0" xfId="202" applyFont="1" applyFill="1">
      <alignment vertical="center"/>
    </xf>
    <xf numFmtId="191" fontId="6" fillId="32" borderId="0" xfId="202" applyNumberFormat="1" applyFont="1" applyFill="1">
      <alignment vertical="center"/>
    </xf>
    <xf numFmtId="43" fontId="4" fillId="32" borderId="2" xfId="200" applyNumberFormat="1" applyFont="1" applyFill="1" applyBorder="1" applyAlignment="1">
      <alignment horizontal="center" vertical="center" wrapText="1"/>
    </xf>
    <xf numFmtId="0" fontId="4" fillId="0" borderId="2" xfId="0" applyFont="1" applyBorder="1" applyAlignment="1">
      <alignment horizontal="center" vertical="center" shrinkToFit="1"/>
    </xf>
    <xf numFmtId="43" fontId="4" fillId="0" borderId="0" xfId="246" applyFont="1" applyAlignment="1">
      <alignment vertical="center"/>
    </xf>
    <xf numFmtId="10" fontId="4" fillId="0" borderId="0" xfId="0" applyNumberFormat="1" applyFont="1" applyAlignment="1">
      <alignment horizontal="center" vertical="center"/>
    </xf>
    <xf numFmtId="43" fontId="4" fillId="0" borderId="0" xfId="246" applyFont="1" applyAlignment="1">
      <alignment horizontal="center" vertical="center"/>
    </xf>
    <xf numFmtId="216" fontId="4" fillId="0" borderId="0" xfId="246" applyNumberFormat="1" applyFont="1" applyAlignment="1">
      <alignment horizontal="center" vertical="center"/>
    </xf>
    <xf numFmtId="0" fontId="7" fillId="0" borderId="2" xfId="0" applyFont="1" applyBorder="1" applyAlignment="1">
      <alignment horizontal="center" vertical="center" shrinkToFit="1"/>
    </xf>
    <xf numFmtId="0" fontId="4" fillId="0" borderId="2" xfId="0" applyFont="1" applyBorder="1" applyAlignment="1">
      <alignment horizontal="left" vertical="center" shrinkToFit="1"/>
    </xf>
    <xf numFmtId="0" fontId="4" fillId="29" borderId="2" xfId="0" applyFont="1" applyFill="1" applyBorder="1" applyAlignment="1">
      <alignment horizontal="left" vertical="center" shrinkToFit="1"/>
    </xf>
    <xf numFmtId="226" fontId="4" fillId="0" borderId="2" xfId="0" applyNumberFormat="1" applyFont="1" applyBorder="1" applyAlignment="1">
      <alignment horizontal="center" vertical="center"/>
    </xf>
    <xf numFmtId="0" fontId="4" fillId="0" borderId="2" xfId="0" applyFont="1" applyFill="1" applyBorder="1" applyAlignment="1">
      <alignment horizontal="left" vertical="center" shrinkToFit="1"/>
    </xf>
    <xf numFmtId="0" fontId="4" fillId="0" borderId="2" xfId="0" applyNumberFormat="1" applyFont="1" applyBorder="1" applyAlignment="1">
      <alignment vertical="center"/>
    </xf>
    <xf numFmtId="185" fontId="4" fillId="0" borderId="0" xfId="0" applyNumberFormat="1" applyFont="1" applyAlignment="1">
      <alignment horizontal="center" vertical="center"/>
    </xf>
    <xf numFmtId="185" fontId="4" fillId="0" borderId="0" xfId="0" applyNumberFormat="1" applyFont="1" applyAlignment="1">
      <alignment vertical="center"/>
    </xf>
    <xf numFmtId="226"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shrinkToFit="1"/>
    </xf>
    <xf numFmtId="0" fontId="61" fillId="0" borderId="0" xfId="0" applyNumberFormat="1" applyFont="1" applyAlignment="1">
      <alignment horizontal="center" vertical="center"/>
    </xf>
    <xf numFmtId="43" fontId="4" fillId="0" borderId="0" xfId="0" applyNumberFormat="1" applyFont="1" applyAlignment="1">
      <alignment vertical="center"/>
    </xf>
    <xf numFmtId="43" fontId="4" fillId="0" borderId="2" xfId="246" applyFont="1" applyBorder="1" applyAlignment="1">
      <alignment vertical="center"/>
    </xf>
    <xf numFmtId="181" fontId="4" fillId="0" borderId="2" xfId="0" applyNumberFormat="1" applyFont="1" applyBorder="1" applyAlignment="1">
      <alignment horizontal="center" vertical="center"/>
    </xf>
    <xf numFmtId="185" fontId="4" fillId="0" borderId="2" xfId="0" applyNumberFormat="1"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Border="1" applyAlignment="1">
      <alignment vertical="center"/>
    </xf>
    <xf numFmtId="184" fontId="129" fillId="13" borderId="0" xfId="219" applyNumberFormat="1" applyFont="1" applyFill="1" applyAlignment="1" applyProtection="1">
      <alignment horizontal="left" vertical="center" shrinkToFit="1"/>
      <protection locked="0" hidden="1"/>
    </xf>
    <xf numFmtId="0" fontId="130" fillId="0" borderId="0" xfId="219" applyFont="1" applyAlignment="1" applyProtection="1">
      <alignment horizontal="left" vertical="center" wrapText="1"/>
    </xf>
    <xf numFmtId="43" fontId="4" fillId="0" borderId="2" xfId="246" applyFont="1" applyBorder="1" applyAlignment="1">
      <alignment horizontal="center" vertical="center"/>
    </xf>
    <xf numFmtId="0" fontId="128" fillId="0" borderId="2" xfId="0" applyFont="1" applyFill="1" applyBorder="1" applyAlignment="1">
      <alignment horizontal="left" vertical="center" shrinkToFit="1"/>
    </xf>
    <xf numFmtId="0" fontId="4" fillId="0" borderId="2" xfId="246" applyNumberFormat="1" applyFont="1" applyFill="1" applyBorder="1" applyAlignment="1">
      <alignment horizontal="center" vertical="center"/>
    </xf>
    <xf numFmtId="215" fontId="4" fillId="0" borderId="0" xfId="246" applyNumberFormat="1" applyFont="1" applyFill="1" applyAlignment="1">
      <alignment horizontal="center" vertical="center"/>
    </xf>
    <xf numFmtId="215" fontId="4" fillId="0" borderId="2" xfId="246" applyNumberFormat="1" applyFont="1" applyFill="1" applyBorder="1" applyAlignment="1">
      <alignment vertical="center"/>
    </xf>
    <xf numFmtId="0" fontId="140" fillId="0" borderId="33" xfId="0" applyFont="1" applyBorder="1" applyAlignment="1">
      <alignment horizontal="center" vertical="center" shrinkToFit="1"/>
    </xf>
    <xf numFmtId="0" fontId="7" fillId="0" borderId="1" xfId="0" applyFont="1" applyBorder="1" applyAlignment="1">
      <alignment vertical="center" shrinkToFit="1"/>
    </xf>
    <xf numFmtId="0" fontId="140" fillId="0" borderId="33" xfId="0" applyFont="1" applyBorder="1" applyAlignment="1">
      <alignment horizontal="center" vertical="center" shrinkToFit="1"/>
    </xf>
    <xf numFmtId="0" fontId="132" fillId="0" borderId="0" xfId="0" applyFont="1" applyBorder="1" applyAlignment="1">
      <alignment horizontal="center" vertical="center"/>
    </xf>
    <xf numFmtId="225" fontId="4" fillId="13" borderId="2" xfId="0" applyNumberFormat="1" applyFont="1" applyFill="1" applyBorder="1" applyAlignment="1">
      <alignment horizontal="center" vertical="center" wrapText="1"/>
    </xf>
    <xf numFmtId="0" fontId="132" fillId="31" borderId="0" xfId="0" applyFont="1" applyFill="1" applyAlignment="1">
      <alignment horizontal="center" vertical="center"/>
    </xf>
    <xf numFmtId="0" fontId="132" fillId="31" borderId="0" xfId="0" applyFont="1" applyFill="1" applyAlignment="1">
      <alignment horizontal="center" vertical="center" shrinkToFit="1"/>
    </xf>
    <xf numFmtId="0" fontId="4" fillId="0" borderId="0" xfId="0" applyFont="1" applyBorder="1" applyAlignment="1">
      <alignment horizontal="center" vertical="center"/>
    </xf>
    <xf numFmtId="43" fontId="4" fillId="0" borderId="2" xfId="247" applyFont="1" applyBorder="1" applyAlignment="1">
      <alignment horizontal="right" vertical="center"/>
    </xf>
    <xf numFmtId="182" fontId="4" fillId="0" borderId="2" xfId="196" applyNumberFormat="1" applyFont="1" applyFill="1" applyBorder="1" applyAlignment="1">
      <alignment horizontal="center" vertical="center"/>
    </xf>
    <xf numFmtId="43" fontId="4" fillId="0" borderId="33" xfId="246" applyFont="1" applyBorder="1" applyAlignment="1">
      <alignment vertical="center"/>
    </xf>
    <xf numFmtId="185" fontId="4" fillId="0" borderId="33" xfId="0" applyNumberFormat="1" applyFont="1" applyBorder="1" applyAlignment="1">
      <alignment horizontal="center" vertical="center"/>
    </xf>
    <xf numFmtId="223" fontId="4" fillId="0" borderId="2" xfId="0" applyNumberFormat="1" applyFont="1" applyBorder="1" applyAlignment="1">
      <alignment horizontal="center" vertical="center"/>
    </xf>
    <xf numFmtId="216" fontId="4" fillId="0" borderId="2" xfId="246" applyNumberFormat="1" applyFont="1" applyBorder="1" applyAlignment="1">
      <alignment horizontal="center" vertical="center"/>
    </xf>
    <xf numFmtId="0" fontId="4" fillId="0" borderId="33" xfId="246" applyNumberFormat="1" applyFont="1" applyFill="1" applyBorder="1" applyAlignment="1">
      <alignment horizontal="center" vertical="center"/>
    </xf>
    <xf numFmtId="43" fontId="4" fillId="0" borderId="33" xfId="246" applyFont="1" applyFill="1" applyBorder="1" applyAlignment="1">
      <alignment vertical="center"/>
    </xf>
    <xf numFmtId="215" fontId="4" fillId="0" borderId="33" xfId="246" applyNumberFormat="1" applyFont="1" applyFill="1" applyBorder="1" applyAlignment="1">
      <alignment vertical="center"/>
    </xf>
    <xf numFmtId="0" fontId="143" fillId="0" borderId="2" xfId="0" applyFont="1" applyBorder="1" applyAlignment="1">
      <alignment vertical="center"/>
    </xf>
    <xf numFmtId="0" fontId="4" fillId="0" borderId="2" xfId="201" applyNumberFormat="1" applyFont="1" applyFill="1" applyBorder="1" applyAlignment="1">
      <alignment horizontal="center" vertical="center" wrapText="1"/>
    </xf>
    <xf numFmtId="0" fontId="4" fillId="0" borderId="2" xfId="201" applyNumberFormat="1" applyFont="1" applyFill="1" applyBorder="1" applyAlignment="1">
      <alignment horizontal="center" vertical="center"/>
    </xf>
    <xf numFmtId="43" fontId="4" fillId="0" borderId="2" xfId="246" applyFont="1" applyFill="1" applyBorder="1" applyAlignment="1">
      <alignment horizontal="center" vertical="center" wrapText="1"/>
    </xf>
    <xf numFmtId="49" fontId="4" fillId="0" borderId="2" xfId="0" applyNumberFormat="1" applyFont="1" applyBorder="1" applyAlignment="1">
      <alignment horizontal="left" vertical="center" shrinkToFit="1"/>
    </xf>
    <xf numFmtId="0" fontId="7" fillId="0" borderId="2" xfId="0" applyFont="1" applyBorder="1" applyAlignment="1">
      <alignment horizontal="left" vertical="center" shrinkToFit="1"/>
    </xf>
    <xf numFmtId="0" fontId="7" fillId="0" borderId="1" xfId="0" applyFont="1" applyBorder="1" applyAlignment="1">
      <alignment horizontal="center" vertical="center" shrinkToFit="1"/>
    </xf>
    <xf numFmtId="0" fontId="4" fillId="0" borderId="2" xfId="0" applyFont="1" applyBorder="1" applyAlignment="1">
      <alignment vertical="center" shrinkToFit="1"/>
    </xf>
    <xf numFmtId="0" fontId="7" fillId="0" borderId="0" xfId="0" applyFont="1" applyBorder="1" applyAlignment="1">
      <alignment horizontal="center" vertical="center" wrapText="1"/>
    </xf>
    <xf numFmtId="0" fontId="36" fillId="0" borderId="0" xfId="219" applyFont="1" applyAlignment="1" applyProtection="1">
      <alignment horizontal="center" vertical="center" wrapText="1"/>
    </xf>
    <xf numFmtId="0" fontId="4" fillId="29" borderId="2" xfId="0" applyFont="1" applyFill="1" applyBorder="1" applyAlignment="1">
      <alignment horizontal="center" vertical="center" shrinkToFit="1"/>
    </xf>
    <xf numFmtId="185" fontId="4" fillId="0" borderId="2" xfId="247" applyNumberFormat="1" applyFont="1" applyBorder="1" applyAlignment="1">
      <alignment horizontal="center" vertical="center"/>
    </xf>
    <xf numFmtId="180" fontId="133" fillId="0" borderId="0" xfId="0" applyNumberFormat="1" applyFont="1" applyFill="1" applyAlignment="1">
      <alignment vertical="center"/>
    </xf>
    <xf numFmtId="0" fontId="4" fillId="33" borderId="0" xfId="0" applyNumberFormat="1" applyFont="1" applyFill="1" applyAlignment="1">
      <alignment horizontal="center" vertical="center"/>
    </xf>
    <xf numFmtId="180" fontId="134" fillId="0" borderId="2" xfId="0" applyNumberFormat="1" applyFont="1" applyFill="1" applyBorder="1" applyAlignment="1">
      <alignment horizontal="center" vertical="center" wrapText="1"/>
    </xf>
    <xf numFmtId="180" fontId="22" fillId="0" borderId="0" xfId="0" applyNumberFormat="1" applyFont="1" applyFill="1" applyBorder="1" applyAlignment="1" applyProtection="1">
      <alignment horizontal="right" vertical="center" shrinkToFit="1"/>
      <protection locked="0"/>
    </xf>
    <xf numFmtId="180" fontId="135" fillId="0" borderId="0" xfId="0" applyNumberFormat="1" applyFont="1" applyFill="1" applyAlignment="1">
      <alignment shrinkToFit="1"/>
    </xf>
    <xf numFmtId="180" fontId="49" fillId="32" borderId="0" xfId="0" applyNumberFormat="1" applyFont="1" applyFill="1" applyBorder="1" applyAlignment="1">
      <alignment horizontal="center" vertical="center" wrapText="1"/>
    </xf>
    <xf numFmtId="10" fontId="4" fillId="32" borderId="0" xfId="0" applyNumberFormat="1" applyFont="1" applyFill="1" applyAlignment="1">
      <alignment horizontal="center" vertical="center"/>
    </xf>
    <xf numFmtId="0" fontId="142" fillId="0" borderId="0" xfId="191" applyFont="1" applyFill="1" applyAlignment="1">
      <alignment vertical="center"/>
    </xf>
    <xf numFmtId="10" fontId="142" fillId="33" borderId="0" xfId="191" applyNumberFormat="1" applyFont="1" applyFill="1" applyAlignment="1">
      <alignment horizontal="center" vertical="center"/>
    </xf>
    <xf numFmtId="0" fontId="7" fillId="0" borderId="0" xfId="0" applyFont="1" applyBorder="1" applyAlignment="1">
      <alignment horizontal="center" vertical="center"/>
    </xf>
    <xf numFmtId="0" fontId="142" fillId="0" borderId="0" xfId="0" applyFont="1" applyFill="1" applyAlignment="1">
      <alignment vertical="center"/>
    </xf>
    <xf numFmtId="0" fontId="142" fillId="0" borderId="0" xfId="191" applyFont="1" applyFill="1" applyAlignment="1">
      <alignment horizontal="center" vertical="center"/>
    </xf>
    <xf numFmtId="0" fontId="7" fillId="0" borderId="0" xfId="0" applyFont="1" applyFill="1" applyAlignment="1">
      <alignment horizontal="center" vertical="center"/>
    </xf>
    <xf numFmtId="49" fontId="142" fillId="0" borderId="0" xfId="191" applyNumberFormat="1" applyFont="1" applyFill="1" applyAlignment="1">
      <alignment horizontal="left" vertical="center"/>
    </xf>
    <xf numFmtId="0" fontId="142" fillId="0" borderId="0" xfId="191" applyFont="1" applyFill="1" applyBorder="1" applyAlignment="1">
      <alignment horizontal="center" vertical="center"/>
    </xf>
    <xf numFmtId="182" fontId="142" fillId="0" borderId="0" xfId="188" applyNumberFormat="1" applyFont="1" applyFill="1" applyAlignment="1">
      <alignment horizontal="center" vertical="center"/>
    </xf>
    <xf numFmtId="43" fontId="4" fillId="0" borderId="0" xfId="247" applyFont="1" applyFill="1" applyAlignment="1">
      <alignment horizontal="center" vertical="center"/>
    </xf>
    <xf numFmtId="9" fontId="142" fillId="0" borderId="0" xfId="173" applyFont="1" applyFill="1" applyAlignment="1">
      <alignment horizontal="left" vertical="center"/>
    </xf>
    <xf numFmtId="43" fontId="142" fillId="0" borderId="0" xfId="249" applyFont="1" applyFill="1" applyAlignment="1">
      <alignment horizontal="left" vertical="center"/>
    </xf>
    <xf numFmtId="43" fontId="142" fillId="34" borderId="0" xfId="249" applyFont="1" applyFill="1" applyAlignment="1">
      <alignment horizontal="left" vertical="center"/>
    </xf>
    <xf numFmtId="49" fontId="142" fillId="0" borderId="0" xfId="191" applyNumberFormat="1" applyFont="1" applyFill="1" applyAlignment="1">
      <alignment horizontal="center" vertical="center"/>
    </xf>
    <xf numFmtId="0" fontId="142" fillId="0" borderId="0" xfId="191" applyFont="1" applyFill="1" applyBorder="1" applyAlignment="1" applyProtection="1">
      <alignment horizontal="left" vertical="center"/>
      <protection locked="0"/>
    </xf>
    <xf numFmtId="0" fontId="142" fillId="0" borderId="0" xfId="191" applyFont="1" applyFill="1" applyAlignment="1" applyProtection="1">
      <alignment horizontal="left" vertical="center"/>
      <protection locked="0"/>
    </xf>
    <xf numFmtId="49" fontId="142" fillId="0" borderId="0" xfId="191" applyNumberFormat="1" applyFont="1" applyFill="1" applyAlignment="1" applyProtection="1">
      <alignment horizontal="left" vertical="center"/>
      <protection locked="0"/>
    </xf>
    <xf numFmtId="0" fontId="4" fillId="0" borderId="0" xfId="191" applyFont="1" applyFill="1" applyAlignment="1">
      <alignment vertical="center"/>
    </xf>
    <xf numFmtId="49" fontId="4" fillId="0" borderId="0" xfId="191" applyNumberFormat="1" applyFont="1" applyFill="1" applyAlignment="1" applyProtection="1">
      <alignment horizontal="center" vertical="center"/>
      <protection locked="0"/>
    </xf>
    <xf numFmtId="49" fontId="4" fillId="0" borderId="0" xfId="191" applyNumberFormat="1" applyFont="1" applyFill="1" applyAlignment="1">
      <alignment horizontal="center" vertical="center"/>
    </xf>
    <xf numFmtId="0" fontId="7" fillId="0" borderId="0" xfId="0" applyFont="1" applyFill="1" applyAlignment="1">
      <alignment vertical="center"/>
    </xf>
    <xf numFmtId="0" fontId="142" fillId="0" borderId="2" xfId="191" applyFont="1" applyFill="1" applyBorder="1" applyAlignment="1" applyProtection="1">
      <alignment vertical="center"/>
      <protection locked="0"/>
    </xf>
    <xf numFmtId="43" fontId="142" fillId="0" borderId="0" xfId="249" applyFont="1" applyFill="1" applyAlignment="1">
      <alignment vertical="center"/>
    </xf>
    <xf numFmtId="0" fontId="142" fillId="0" borderId="0" xfId="191" applyFont="1" applyFill="1" applyAlignment="1">
      <alignment horizontal="left" vertical="center"/>
    </xf>
    <xf numFmtId="10" fontId="142" fillId="0" borderId="0" xfId="174" applyNumberFormat="1" applyFont="1" applyFill="1" applyAlignment="1">
      <alignment horizontal="left" vertical="center"/>
    </xf>
    <xf numFmtId="180" fontId="142" fillId="0" borderId="2" xfId="191" applyNumberFormat="1" applyFont="1" applyFill="1" applyBorder="1" applyAlignment="1" applyProtection="1">
      <alignment vertical="center"/>
      <protection locked="0"/>
    </xf>
    <xf numFmtId="0" fontId="142" fillId="0" borderId="0" xfId="191" applyFont="1" applyFill="1" applyAlignment="1">
      <alignment horizontal="right" vertical="center"/>
    </xf>
    <xf numFmtId="9" fontId="142" fillId="0" borderId="0" xfId="191" applyNumberFormat="1" applyFont="1" applyFill="1" applyAlignment="1">
      <alignment horizontal="left" vertical="center"/>
    </xf>
    <xf numFmtId="182" fontId="142" fillId="0" borderId="0" xfId="188" applyNumberFormat="1" applyFont="1" applyFill="1" applyAlignment="1">
      <alignment vertical="center"/>
    </xf>
    <xf numFmtId="180" fontId="142" fillId="0" borderId="0" xfId="191" applyNumberFormat="1" applyFont="1" applyFill="1" applyBorder="1" applyAlignment="1" applyProtection="1">
      <alignment horizontal="right" vertical="center"/>
    </xf>
    <xf numFmtId="0" fontId="142" fillId="0" borderId="2" xfId="191" applyFont="1" applyFill="1" applyBorder="1" applyAlignment="1">
      <alignment vertical="center"/>
    </xf>
    <xf numFmtId="9" fontId="142" fillId="0" borderId="0" xfId="191" applyNumberFormat="1" applyFont="1" applyFill="1" applyAlignment="1">
      <alignment vertical="center"/>
    </xf>
    <xf numFmtId="193" fontId="142" fillId="0" borderId="0" xfId="191" applyNumberFormat="1" applyFont="1" applyFill="1" applyAlignment="1">
      <alignment horizontal="center" vertical="center"/>
    </xf>
    <xf numFmtId="10" fontId="4" fillId="32" borderId="0" xfId="0" applyNumberFormat="1" applyFont="1" applyFill="1" applyAlignment="1">
      <alignment vertical="center"/>
    </xf>
    <xf numFmtId="180" fontId="13" fillId="0" borderId="2" xfId="0" applyNumberFormat="1" applyFont="1" applyFill="1" applyBorder="1" applyAlignment="1">
      <alignment horizontal="center" vertical="center" wrapText="1"/>
    </xf>
    <xf numFmtId="180" fontId="13" fillId="0" borderId="2" xfId="0" applyNumberFormat="1" applyFont="1" applyFill="1" applyBorder="1" applyAlignment="1">
      <alignment horizontal="center" vertical="center" shrinkToFit="1"/>
    </xf>
    <xf numFmtId="180" fontId="13" fillId="0" borderId="33" xfId="0" applyNumberFormat="1" applyFont="1" applyFill="1" applyBorder="1" applyAlignment="1">
      <alignment vertical="center" shrinkToFit="1"/>
    </xf>
    <xf numFmtId="43" fontId="22" fillId="0" borderId="2" xfId="247" applyFont="1" applyFill="1" applyBorder="1" applyAlignment="1" applyProtection="1">
      <alignment horizontal="right" vertical="center" shrinkToFit="1"/>
      <protection locked="0"/>
    </xf>
    <xf numFmtId="43" fontId="4" fillId="0" borderId="2" xfId="247" applyFont="1" applyFill="1" applyBorder="1" applyAlignment="1">
      <alignment vertical="center" shrinkToFit="1"/>
    </xf>
    <xf numFmtId="10" fontId="4" fillId="0" borderId="2" xfId="247" applyNumberFormat="1" applyFont="1" applyFill="1" applyBorder="1" applyAlignment="1">
      <alignment vertical="center" shrinkToFit="1"/>
    </xf>
    <xf numFmtId="9" fontId="4" fillId="0" borderId="2" xfId="247" applyNumberFormat="1" applyFont="1" applyFill="1" applyBorder="1" applyAlignment="1">
      <alignment horizontal="center" vertical="center" shrinkToFit="1"/>
    </xf>
    <xf numFmtId="215" fontId="4" fillId="0" borderId="2" xfId="247" applyNumberFormat="1" applyFont="1" applyFill="1" applyBorder="1" applyAlignment="1">
      <alignment horizontal="center" vertical="center" shrinkToFit="1"/>
    </xf>
    <xf numFmtId="43" fontId="4" fillId="0" borderId="2" xfId="0" applyNumberFormat="1" applyFont="1" applyBorder="1" applyAlignment="1">
      <alignment horizontal="left" vertical="center" shrinkToFit="1"/>
    </xf>
    <xf numFmtId="14" fontId="4" fillId="0" borderId="0" xfId="0" applyNumberFormat="1" applyFont="1" applyAlignment="1">
      <alignment horizontal="right" vertical="center"/>
    </xf>
    <xf numFmtId="14" fontId="4" fillId="0" borderId="0" xfId="0" applyNumberFormat="1" applyFont="1" applyAlignment="1">
      <alignment vertical="center"/>
    </xf>
    <xf numFmtId="0" fontId="7" fillId="0" borderId="2" xfId="0" applyFont="1" applyFill="1" applyBorder="1" applyAlignment="1">
      <alignment horizontal="center" vertical="center" shrinkToFit="1"/>
    </xf>
    <xf numFmtId="226" fontId="4" fillId="0" borderId="2" xfId="0" applyNumberFormat="1" applyFont="1" applyFill="1" applyBorder="1" applyAlignment="1">
      <alignment horizontal="center" vertical="center" shrinkToFit="1"/>
    </xf>
    <xf numFmtId="43" fontId="4" fillId="0" borderId="2" xfId="0" applyNumberFormat="1" applyFont="1" applyFill="1" applyBorder="1" applyAlignment="1">
      <alignment horizontal="right" vertical="center" shrinkToFit="1"/>
    </xf>
    <xf numFmtId="43" fontId="4" fillId="0" borderId="2" xfId="0" applyNumberFormat="1" applyFont="1" applyBorder="1" applyAlignment="1">
      <alignment horizontal="right" vertical="center" shrinkToFit="1"/>
    </xf>
    <xf numFmtId="43" fontId="4" fillId="0" borderId="2" xfId="0" applyNumberFormat="1" applyFont="1" applyBorder="1" applyAlignment="1">
      <alignment vertical="center" shrinkToFit="1"/>
    </xf>
    <xf numFmtId="0" fontId="4" fillId="0" borderId="2" xfId="0" applyNumberFormat="1" applyFont="1" applyBorder="1" applyAlignment="1">
      <alignment horizontal="center" vertical="center" shrinkToFit="1"/>
    </xf>
    <xf numFmtId="43" fontId="4" fillId="0" borderId="2" xfId="246" applyFont="1" applyFill="1" applyBorder="1" applyAlignment="1">
      <alignment vertical="center" shrinkToFit="1"/>
    </xf>
    <xf numFmtId="43" fontId="4" fillId="0" borderId="2" xfId="246" applyFont="1" applyBorder="1" applyAlignment="1">
      <alignment horizontal="center" vertical="center" shrinkToFit="1"/>
    </xf>
    <xf numFmtId="224" fontId="4" fillId="0" borderId="2" xfId="0" applyNumberFormat="1" applyFont="1" applyBorder="1" applyAlignment="1">
      <alignment horizontal="center" vertical="center" shrinkToFit="1"/>
    </xf>
    <xf numFmtId="14" fontId="4" fillId="0" borderId="2" xfId="0" applyNumberFormat="1" applyFont="1" applyBorder="1" applyAlignment="1">
      <alignment horizontal="center" vertical="center" shrinkToFit="1"/>
    </xf>
    <xf numFmtId="226" fontId="4" fillId="0" borderId="2" xfId="0" applyNumberFormat="1" applyFont="1" applyBorder="1" applyAlignment="1">
      <alignment horizontal="center" vertical="center" shrinkToFit="1"/>
    </xf>
    <xf numFmtId="0" fontId="4" fillId="0" borderId="2" xfId="0" applyFont="1" applyFill="1" applyBorder="1" applyAlignment="1">
      <alignment horizontal="right" vertical="center" shrinkToFit="1"/>
    </xf>
    <xf numFmtId="4" fontId="4" fillId="0" borderId="2" xfId="0" quotePrefix="1" applyNumberFormat="1" applyFont="1" applyFill="1" applyBorder="1" applyAlignment="1">
      <alignment horizontal="right" vertical="center" shrinkToFit="1"/>
    </xf>
    <xf numFmtId="43" fontId="142" fillId="0" borderId="2" xfId="246" applyFont="1" applyBorder="1" applyAlignment="1">
      <alignment vertical="center" shrinkToFit="1"/>
    </xf>
    <xf numFmtId="0" fontId="142" fillId="0" borderId="2" xfId="246" applyNumberFormat="1" applyFont="1" applyBorder="1" applyAlignment="1">
      <alignment horizontal="center" vertical="center" shrinkToFit="1"/>
    </xf>
    <xf numFmtId="43" fontId="4" fillId="0" borderId="2" xfId="246" applyFont="1" applyBorder="1" applyAlignment="1">
      <alignment horizontal="right" vertical="center" shrinkToFit="1"/>
    </xf>
    <xf numFmtId="0" fontId="4" fillId="0" borderId="2" xfId="0" applyFont="1" applyBorder="1" applyAlignment="1">
      <alignment horizontal="right" vertical="center" shrinkToFit="1"/>
    </xf>
    <xf numFmtId="0" fontId="4" fillId="0" borderId="2" xfId="246" applyNumberFormat="1" applyFont="1" applyFill="1" applyBorder="1" applyAlignment="1">
      <alignment horizontal="center" vertical="center" shrinkToFit="1"/>
    </xf>
    <xf numFmtId="9" fontId="4" fillId="0" borderId="0" xfId="246" applyNumberFormat="1" applyFont="1" applyBorder="1" applyAlignment="1">
      <alignment horizontal="center" vertical="center"/>
    </xf>
    <xf numFmtId="10" fontId="4" fillId="33" borderId="0" xfId="0" applyNumberFormat="1" applyFont="1" applyFill="1" applyAlignment="1">
      <alignment horizontal="center" vertical="center"/>
    </xf>
    <xf numFmtId="0" fontId="4" fillId="0" borderId="2" xfId="0" applyNumberFormat="1" applyFont="1" applyBorder="1" applyAlignment="1">
      <alignment horizontal="left" vertical="center" shrinkToFit="1"/>
    </xf>
    <xf numFmtId="0" fontId="4" fillId="33" borderId="0" xfId="0" applyFont="1" applyFill="1" applyAlignment="1">
      <alignment vertical="center"/>
    </xf>
    <xf numFmtId="0" fontId="4" fillId="0" borderId="2" xfId="0" applyFont="1" applyBorder="1" applyAlignment="1">
      <alignment horizontal="center" vertical="center"/>
    </xf>
    <xf numFmtId="0" fontId="61" fillId="0" borderId="0" xfId="0" applyFont="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shrinkToFit="1"/>
    </xf>
    <xf numFmtId="0" fontId="4" fillId="33" borderId="2" xfId="0" applyFont="1" applyFill="1" applyBorder="1" applyAlignment="1">
      <alignment horizontal="center" vertical="center"/>
    </xf>
    <xf numFmtId="43" fontId="4" fillId="0" borderId="0" xfId="246" applyFont="1" applyFill="1" applyAlignment="1">
      <alignment vertical="center"/>
    </xf>
    <xf numFmtId="43" fontId="4" fillId="0" borderId="0" xfId="246" applyFont="1" applyBorder="1" applyAlignment="1">
      <alignment vertical="center"/>
    </xf>
    <xf numFmtId="181" fontId="4" fillId="0" borderId="0" xfId="0" applyNumberFormat="1" applyFont="1" applyBorder="1" applyAlignment="1">
      <alignment horizontal="center" vertical="center"/>
    </xf>
    <xf numFmtId="180" fontId="4" fillId="0" borderId="0" xfId="0" applyNumberFormat="1" applyFont="1" applyBorder="1" applyAlignment="1">
      <alignment vertical="center"/>
    </xf>
    <xf numFmtId="185" fontId="4" fillId="0" borderId="0" xfId="0" applyNumberFormat="1" applyFont="1" applyBorder="1" applyAlignment="1">
      <alignment horizontal="center" vertical="center"/>
    </xf>
    <xf numFmtId="0" fontId="7" fillId="0" borderId="2" xfId="0" applyFont="1" applyFill="1" applyBorder="1" applyAlignment="1">
      <alignment horizontal="left" vertical="center" shrinkToFit="1"/>
    </xf>
    <xf numFmtId="17" fontId="7" fillId="0" borderId="2" xfId="0" applyNumberFormat="1" applyFont="1" applyFill="1" applyBorder="1" applyAlignment="1">
      <alignment horizontal="left" vertical="center" shrinkToFit="1"/>
    </xf>
    <xf numFmtId="0" fontId="4" fillId="0" borderId="0" xfId="246" applyNumberFormat="1" applyFont="1" applyFill="1" applyBorder="1" applyAlignment="1">
      <alignment horizontal="center" vertical="center"/>
    </xf>
    <xf numFmtId="43" fontId="4" fillId="0" borderId="0" xfId="246" applyFont="1" applyFill="1" applyBorder="1" applyAlignment="1">
      <alignment vertical="center"/>
    </xf>
    <xf numFmtId="215" fontId="4" fillId="0" borderId="0" xfId="246" applyNumberFormat="1" applyFont="1" applyFill="1" applyBorder="1" applyAlignment="1">
      <alignment vertical="center"/>
    </xf>
    <xf numFmtId="43" fontId="139" fillId="0" borderId="2" xfId="0" applyNumberFormat="1" applyFont="1" applyFill="1" applyBorder="1" applyAlignment="1">
      <alignment horizontal="right" vertical="center" shrinkToFit="1"/>
    </xf>
    <xf numFmtId="0" fontId="4" fillId="33" borderId="0" xfId="0" applyFont="1" applyFill="1" applyBorder="1" applyAlignment="1">
      <alignment vertical="center"/>
    </xf>
    <xf numFmtId="43" fontId="4" fillId="0" borderId="0" xfId="0" applyNumberFormat="1" applyFont="1" applyFill="1" applyBorder="1" applyAlignment="1">
      <alignment horizontal="center" vertical="center"/>
    </xf>
    <xf numFmtId="43" fontId="4" fillId="33" borderId="0" xfId="0" applyNumberFormat="1" applyFont="1" applyFill="1" applyBorder="1" applyAlignment="1">
      <alignment horizontal="center" vertical="center"/>
    </xf>
    <xf numFmtId="0" fontId="4" fillId="0" borderId="0" xfId="0" applyFont="1" applyBorder="1" applyAlignment="1">
      <alignment horizontal="center" vertical="center" wrapText="1"/>
    </xf>
    <xf numFmtId="43" fontId="4" fillId="0" borderId="0" xfId="0" applyNumberFormat="1" applyFont="1" applyFill="1" applyAlignment="1">
      <alignment horizontal="right" vertical="center" shrinkToFit="1"/>
    </xf>
    <xf numFmtId="226" fontId="139" fillId="0" borderId="2" xfId="0" applyNumberFormat="1" applyFont="1" applyFill="1" applyBorder="1" applyAlignment="1">
      <alignment horizontal="center" vertical="center" shrinkToFit="1"/>
    </xf>
    <xf numFmtId="201" fontId="7" fillId="0" borderId="2" xfId="0" applyNumberFormat="1" applyFont="1" applyFill="1" applyBorder="1" applyAlignment="1">
      <alignment horizontal="left" vertical="center" shrinkToFit="1"/>
    </xf>
    <xf numFmtId="0" fontId="139" fillId="0" borderId="0" xfId="0" applyFont="1" applyFill="1" applyBorder="1" applyAlignment="1">
      <alignment vertical="center"/>
    </xf>
    <xf numFmtId="43" fontId="4" fillId="33" borderId="2" xfId="0" applyNumberFormat="1" applyFont="1" applyFill="1" applyBorder="1" applyAlignment="1">
      <alignment horizontal="right" vertical="center" shrinkToFit="1"/>
    </xf>
    <xf numFmtId="0" fontId="7" fillId="0" borderId="2" xfId="0" applyFont="1" applyBorder="1" applyAlignment="1">
      <alignment horizontal="center" vertical="center" wrapText="1"/>
    </xf>
    <xf numFmtId="0" fontId="4" fillId="0" borderId="2" xfId="0" applyFont="1" applyBorder="1" applyAlignment="1">
      <alignment horizontal="center" vertical="center" shrinkToFit="1"/>
    </xf>
    <xf numFmtId="0" fontId="4" fillId="33" borderId="2" xfId="0" applyNumberFormat="1" applyFont="1" applyFill="1" applyBorder="1" applyAlignment="1">
      <alignment horizontal="center" vertical="center" shrinkToFit="1"/>
    </xf>
    <xf numFmtId="227" fontId="4" fillId="0" borderId="0" xfId="0" applyNumberFormat="1" applyFont="1" applyFill="1" applyBorder="1" applyAlignment="1">
      <alignment horizontal="center" vertical="center"/>
    </xf>
    <xf numFmtId="43" fontId="4" fillId="0" borderId="0" xfId="0" applyNumberFormat="1" applyFont="1" applyFill="1" applyBorder="1" applyAlignment="1">
      <alignment vertical="center"/>
    </xf>
    <xf numFmtId="0" fontId="4" fillId="33" borderId="0" xfId="0" applyFont="1" applyFill="1" applyAlignment="1">
      <alignment horizontal="center" vertical="center"/>
    </xf>
    <xf numFmtId="180" fontId="4" fillId="33" borderId="2" xfId="0" applyNumberFormat="1" applyFont="1" applyFill="1" applyBorder="1" applyAlignment="1">
      <alignment vertical="center"/>
    </xf>
    <xf numFmtId="0" fontId="4" fillId="35" borderId="2" xfId="0" applyFont="1" applyFill="1" applyBorder="1" applyAlignment="1">
      <alignment horizontal="left" vertical="center" shrinkToFit="1"/>
    </xf>
    <xf numFmtId="0" fontId="7" fillId="35" borderId="2" xfId="0" applyFont="1" applyFill="1" applyBorder="1" applyAlignment="1">
      <alignment horizontal="left" vertical="center" shrinkToFit="1"/>
    </xf>
    <xf numFmtId="0" fontId="4" fillId="35" borderId="2" xfId="0" applyFont="1" applyFill="1" applyBorder="1" applyAlignment="1">
      <alignment horizontal="center" vertical="center" shrinkToFit="1"/>
    </xf>
    <xf numFmtId="43" fontId="4" fillId="35" borderId="2" xfId="0" applyNumberFormat="1" applyFont="1" applyFill="1" applyBorder="1" applyAlignment="1">
      <alignment horizontal="right" vertical="center" shrinkToFit="1"/>
    </xf>
    <xf numFmtId="0" fontId="4" fillId="35" borderId="2" xfId="0" applyNumberFormat="1" applyFont="1" applyFill="1" applyBorder="1" applyAlignment="1">
      <alignment horizontal="center" vertical="center" shrinkToFit="1"/>
    </xf>
    <xf numFmtId="0" fontId="4" fillId="0" borderId="0" xfId="0" applyFont="1" applyAlignment="1">
      <alignment vertical="center" shrinkToFit="1"/>
    </xf>
    <xf numFmtId="14" fontId="4" fillId="0" borderId="2" xfId="0" applyNumberFormat="1" applyFont="1" applyFill="1" applyBorder="1" applyAlignment="1">
      <alignment horizontal="center" vertical="center" shrinkToFit="1"/>
    </xf>
    <xf numFmtId="43" fontId="4" fillId="0" borderId="2" xfId="246" applyFont="1" applyFill="1" applyBorder="1" applyAlignment="1">
      <alignment horizontal="left" vertical="center" shrinkToFit="1"/>
    </xf>
    <xf numFmtId="43" fontId="4" fillId="0" borderId="2" xfId="246" applyFont="1" applyFill="1" applyBorder="1" applyAlignment="1">
      <alignment horizontal="right" vertical="center" shrinkToFit="1"/>
    </xf>
    <xf numFmtId="0" fontId="146" fillId="35" borderId="68" xfId="0" applyFont="1" applyFill="1" applyBorder="1" applyAlignment="1">
      <alignment horizontal="left" vertical="center" shrinkToFit="1"/>
    </xf>
    <xf numFmtId="0" fontId="4" fillId="29" borderId="2" xfId="0" applyFont="1" applyFill="1" applyBorder="1" applyAlignment="1">
      <alignment vertical="center" shrinkToFit="1"/>
    </xf>
    <xf numFmtId="49" fontId="4" fillId="0" borderId="0" xfId="0" applyNumberFormat="1" applyFont="1" applyAlignment="1">
      <alignment vertical="center" shrinkToFit="1"/>
    </xf>
    <xf numFmtId="0" fontId="4" fillId="0" borderId="0" xfId="0" applyFont="1" applyFill="1" applyAlignment="1">
      <alignment vertical="center" shrinkToFit="1"/>
    </xf>
    <xf numFmtId="0" fontId="4" fillId="0" borderId="0" xfId="0" applyNumberFormat="1" applyFont="1" applyAlignment="1">
      <alignment vertical="center" shrinkToFit="1"/>
    </xf>
    <xf numFmtId="0" fontId="7" fillId="0" borderId="2" xfId="0" applyFont="1" applyBorder="1" applyAlignment="1">
      <alignment horizontal="center" vertical="center" wrapText="1"/>
    </xf>
    <xf numFmtId="0" fontId="4" fillId="0" borderId="2" xfId="0" applyFont="1" applyBorder="1" applyAlignment="1">
      <alignment horizontal="center" vertical="center" shrinkToFit="1"/>
    </xf>
    <xf numFmtId="0" fontId="7" fillId="0" borderId="0" xfId="0" applyFont="1" applyAlignment="1">
      <alignment horizontal="center" vertical="center"/>
    </xf>
    <xf numFmtId="0" fontId="147" fillId="35" borderId="68" xfId="0" applyFont="1" applyFill="1" applyBorder="1" applyAlignment="1">
      <alignment horizontal="left" vertical="center" shrinkToFit="1"/>
    </xf>
    <xf numFmtId="43" fontId="4" fillId="0" borderId="2" xfId="246" applyFont="1" applyBorder="1" applyAlignment="1">
      <alignment horizontal="left" vertical="center" shrinkToFit="1"/>
    </xf>
    <xf numFmtId="229" fontId="4" fillId="0" borderId="0" xfId="0" applyNumberFormat="1" applyFont="1" applyAlignment="1">
      <alignment vertical="center" shrinkToFit="1"/>
    </xf>
    <xf numFmtId="43" fontId="4" fillId="33" borderId="2" xfId="246" applyFont="1" applyFill="1" applyBorder="1" applyAlignment="1">
      <alignment horizontal="left" vertical="center" shrinkToFit="1"/>
    </xf>
    <xf numFmtId="181" fontId="4" fillId="0" borderId="0" xfId="0" applyNumberFormat="1" applyFont="1" applyAlignment="1">
      <alignment vertical="center" shrinkToFit="1"/>
    </xf>
    <xf numFmtId="14" fontId="4" fillId="33" borderId="2" xfId="0" applyNumberFormat="1" applyFont="1" applyFill="1" applyBorder="1" applyAlignment="1">
      <alignment horizontal="center" vertical="center" shrinkToFit="1"/>
    </xf>
    <xf numFmtId="228" fontId="4" fillId="0" borderId="2" xfId="0" applyNumberFormat="1" applyFont="1" applyBorder="1" applyAlignment="1">
      <alignment horizontal="center" vertical="center" shrinkToFit="1"/>
    </xf>
    <xf numFmtId="43" fontId="4" fillId="0" borderId="0" xfId="246" applyFont="1" applyAlignment="1">
      <alignment vertical="center" shrinkToFit="1"/>
    </xf>
    <xf numFmtId="0" fontId="7" fillId="0" borderId="0" xfId="0" applyFont="1" applyFill="1" applyAlignment="1">
      <alignment horizontal="center" vertical="center" wrapText="1"/>
    </xf>
    <xf numFmtId="0" fontId="4" fillId="0" borderId="0" xfId="0" applyFont="1" applyFill="1" applyAlignment="1">
      <alignment horizontal="center" vertical="center"/>
    </xf>
    <xf numFmtId="182" fontId="4" fillId="35" borderId="2" xfId="0" applyNumberFormat="1" applyFont="1" applyFill="1" applyBorder="1" applyAlignment="1">
      <alignment horizontal="center" vertical="center" shrinkToFit="1"/>
    </xf>
    <xf numFmtId="14" fontId="4" fillId="35" borderId="2" xfId="0" applyNumberFormat="1" applyFont="1" applyFill="1" applyBorder="1" applyAlignment="1">
      <alignment horizontal="center" vertical="center" shrinkToFit="1"/>
    </xf>
    <xf numFmtId="43" fontId="4" fillId="35" borderId="2" xfId="246" applyFont="1" applyFill="1" applyBorder="1" applyAlignment="1">
      <alignment horizontal="left" vertical="center" shrinkToFit="1"/>
    </xf>
    <xf numFmtId="0" fontId="4" fillId="35" borderId="0" xfId="0" applyFont="1" applyFill="1" applyAlignment="1">
      <alignment vertical="center" shrinkToFit="1"/>
    </xf>
    <xf numFmtId="14" fontId="7" fillId="35" borderId="2" xfId="0" applyNumberFormat="1" applyFont="1" applyFill="1" applyBorder="1" applyAlignment="1">
      <alignment horizontal="center" vertical="center" shrinkToFit="1"/>
    </xf>
    <xf numFmtId="223" fontId="4" fillId="32" borderId="0" xfId="0" applyNumberFormat="1" applyFont="1" applyFill="1" applyAlignment="1">
      <alignment horizontal="center" vertical="center"/>
    </xf>
    <xf numFmtId="0" fontId="4" fillId="33" borderId="2" xfId="0" applyFont="1" applyFill="1" applyBorder="1" applyAlignment="1">
      <alignment horizontal="center" vertical="center" shrinkToFit="1"/>
    </xf>
    <xf numFmtId="185" fontId="4" fillId="33" borderId="33" xfId="0" applyNumberFormat="1" applyFont="1" applyFill="1" applyBorder="1" applyAlignment="1">
      <alignment horizontal="center" vertical="center"/>
    </xf>
    <xf numFmtId="185" fontId="4" fillId="0" borderId="2" xfId="0" applyNumberFormat="1" applyFont="1" applyBorder="1" applyAlignment="1">
      <alignment horizontal="center" vertical="center" shrinkToFit="1"/>
    </xf>
    <xf numFmtId="185" fontId="4" fillId="33" borderId="0" xfId="0" applyNumberFormat="1" applyFont="1" applyFill="1" applyBorder="1" applyAlignment="1">
      <alignment horizontal="center" vertical="center"/>
    </xf>
    <xf numFmtId="0" fontId="7" fillId="33" borderId="0" xfId="0" applyFont="1" applyFill="1" applyBorder="1" applyAlignment="1">
      <alignment horizontal="center" vertical="center" wrapText="1"/>
    </xf>
    <xf numFmtId="0" fontId="7" fillId="32" borderId="2" xfId="0" applyFont="1" applyFill="1" applyBorder="1" applyAlignment="1">
      <alignment horizontal="left" vertical="center" shrinkToFit="1"/>
    </xf>
    <xf numFmtId="0" fontId="4" fillId="32" borderId="2" xfId="0" applyFont="1" applyFill="1" applyBorder="1" applyAlignment="1">
      <alignment horizontal="left" vertical="center" shrinkToFit="1"/>
    </xf>
    <xf numFmtId="0" fontId="4" fillId="0" borderId="2" xfId="0" applyFont="1" applyBorder="1" applyAlignment="1">
      <alignment horizontal="center" vertical="center" shrinkToFit="1"/>
    </xf>
    <xf numFmtId="0" fontId="139" fillId="0" borderId="2" xfId="0" applyFont="1" applyFill="1" applyBorder="1" applyAlignment="1">
      <alignment horizontal="left" vertical="center" shrinkToFit="1"/>
    </xf>
    <xf numFmtId="0" fontId="139" fillId="29" borderId="2" xfId="0" applyFont="1" applyFill="1" applyBorder="1" applyAlignment="1">
      <alignment horizontal="left" vertical="center" shrinkToFit="1"/>
    </xf>
    <xf numFmtId="201" fontId="140" fillId="0" borderId="2" xfId="0" applyNumberFormat="1" applyFont="1" applyFill="1" applyBorder="1" applyAlignment="1">
      <alignment horizontal="left" vertical="center" shrinkToFit="1"/>
    </xf>
    <xf numFmtId="0" fontId="139" fillId="0" borderId="2" xfId="0" applyFont="1" applyFill="1" applyBorder="1" applyAlignment="1">
      <alignment horizontal="center" vertical="center" shrinkToFit="1"/>
    </xf>
    <xf numFmtId="43" fontId="139" fillId="0" borderId="2" xfId="0" applyNumberFormat="1" applyFont="1" applyBorder="1" applyAlignment="1">
      <alignment horizontal="right" vertical="center" shrinkToFit="1"/>
    </xf>
    <xf numFmtId="43" fontId="139" fillId="0" borderId="2" xfId="0" applyNumberFormat="1" applyFont="1" applyBorder="1" applyAlignment="1">
      <alignment vertical="center" shrinkToFit="1"/>
    </xf>
    <xf numFmtId="0" fontId="139" fillId="0" borderId="2" xfId="0" applyNumberFormat="1" applyFont="1" applyBorder="1" applyAlignment="1">
      <alignment horizontal="center" vertical="center" shrinkToFit="1"/>
    </xf>
    <xf numFmtId="43" fontId="139" fillId="0" borderId="2" xfId="246" applyFont="1" applyFill="1" applyBorder="1" applyAlignment="1">
      <alignment vertical="center" shrinkToFit="1"/>
    </xf>
    <xf numFmtId="43" fontId="139" fillId="0" borderId="2" xfId="246" applyFont="1" applyBorder="1" applyAlignment="1">
      <alignment horizontal="center" vertical="center" shrinkToFit="1"/>
    </xf>
    <xf numFmtId="0" fontId="140" fillId="0" borderId="2" xfId="0" applyFont="1" applyFill="1" applyBorder="1" applyAlignment="1">
      <alignment horizontal="left" vertical="center" shrinkToFit="1"/>
    </xf>
    <xf numFmtId="43" fontId="139" fillId="0" borderId="0" xfId="0" applyNumberFormat="1" applyFont="1" applyFill="1" applyBorder="1" applyAlignment="1">
      <alignment horizontal="center" vertical="center"/>
    </xf>
    <xf numFmtId="0" fontId="139" fillId="33" borderId="0" xfId="0" applyFont="1" applyFill="1" applyBorder="1" applyAlignment="1">
      <alignment vertical="center"/>
    </xf>
    <xf numFmtId="43" fontId="139" fillId="0" borderId="2" xfId="246" applyFont="1" applyFill="1" applyBorder="1" applyAlignment="1">
      <alignment vertical="center"/>
    </xf>
    <xf numFmtId="9" fontId="139" fillId="0" borderId="0" xfId="246" applyNumberFormat="1" applyFont="1" applyBorder="1" applyAlignment="1">
      <alignment horizontal="center" vertical="center"/>
    </xf>
    <xf numFmtId="43" fontId="139" fillId="0" borderId="2" xfId="246" applyFont="1" applyBorder="1" applyAlignment="1">
      <alignment vertical="center"/>
    </xf>
    <xf numFmtId="43" fontId="139" fillId="0" borderId="33" xfId="246" applyFont="1" applyBorder="1" applyAlignment="1">
      <alignment vertical="center"/>
    </xf>
    <xf numFmtId="0" fontId="139" fillId="0" borderId="0" xfId="0" applyFont="1" applyAlignment="1">
      <alignment horizontal="center" vertical="center"/>
    </xf>
    <xf numFmtId="181" fontId="139" fillId="0" borderId="2" xfId="0" applyNumberFormat="1" applyFont="1" applyBorder="1" applyAlignment="1">
      <alignment horizontal="center" vertical="center"/>
    </xf>
    <xf numFmtId="180" fontId="139" fillId="0" borderId="2" xfId="0" applyNumberFormat="1" applyFont="1" applyBorder="1" applyAlignment="1">
      <alignment vertical="center"/>
    </xf>
    <xf numFmtId="185" fontId="139" fillId="0" borderId="2" xfId="0" applyNumberFormat="1" applyFont="1" applyBorder="1" applyAlignment="1">
      <alignment horizontal="center" vertical="center"/>
    </xf>
    <xf numFmtId="0" fontId="139" fillId="0" borderId="0" xfId="0" applyFont="1" applyAlignment="1">
      <alignment vertical="center"/>
    </xf>
    <xf numFmtId="43" fontId="139" fillId="33" borderId="0" xfId="0" applyNumberFormat="1" applyFont="1" applyFill="1" applyBorder="1" applyAlignment="1">
      <alignment horizontal="center" vertical="center"/>
    </xf>
    <xf numFmtId="0" fontId="140" fillId="0" borderId="2" xfId="0" applyFont="1" applyFill="1" applyBorder="1" applyAlignment="1">
      <alignment horizontal="center" vertical="center" shrinkToFit="1"/>
    </xf>
    <xf numFmtId="185" fontId="139" fillId="0" borderId="0" xfId="0" applyNumberFormat="1" applyFont="1" applyBorder="1" applyAlignment="1">
      <alignment horizontal="center" vertical="center"/>
    </xf>
    <xf numFmtId="0" fontId="4" fillId="33" borderId="2" xfId="0" applyFont="1" applyFill="1" applyBorder="1" applyAlignment="1">
      <alignment horizontal="left" vertical="center" shrinkToFit="1"/>
    </xf>
    <xf numFmtId="0" fontId="4" fillId="0" borderId="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2" xfId="0" applyFont="1" applyFill="1" applyBorder="1" applyAlignment="1">
      <alignment horizontal="center" vertical="center"/>
    </xf>
    <xf numFmtId="43" fontId="139" fillId="33" borderId="2" xfId="0" applyNumberFormat="1" applyFont="1" applyFill="1" applyBorder="1" applyAlignment="1">
      <alignment horizontal="right" vertical="center" shrinkToFit="1"/>
    </xf>
    <xf numFmtId="43" fontId="7" fillId="33" borderId="2" xfId="0" applyNumberFormat="1" applyFont="1" applyFill="1" applyBorder="1" applyAlignment="1">
      <alignment horizontal="right" vertical="center" shrinkToFit="1"/>
    </xf>
    <xf numFmtId="0" fontId="139" fillId="32" borderId="0" xfId="0" applyFont="1" applyFill="1" applyBorder="1" applyAlignment="1">
      <alignment vertical="center"/>
    </xf>
    <xf numFmtId="0" fontId="36" fillId="0" borderId="0" xfId="219" applyFont="1" applyBorder="1" applyAlignment="1" applyProtection="1">
      <alignment horizontal="left"/>
    </xf>
    <xf numFmtId="0" fontId="13" fillId="0" borderId="34" xfId="207" applyNumberFormat="1" applyFont="1" applyBorder="1" applyAlignment="1" applyProtection="1">
      <alignment horizontal="center" vertical="center"/>
      <protection locked="0"/>
    </xf>
    <xf numFmtId="0" fontId="13" fillId="0" borderId="4" xfId="207" applyNumberFormat="1" applyFont="1" applyBorder="1" applyAlignment="1" applyProtection="1">
      <alignment horizontal="center" vertical="center"/>
      <protection locked="0"/>
    </xf>
    <xf numFmtId="0" fontId="13" fillId="0" borderId="32" xfId="207" applyNumberFormat="1" applyFont="1" applyBorder="1" applyAlignment="1" applyProtection="1">
      <alignment horizontal="center" vertical="center"/>
      <protection locked="0"/>
    </xf>
    <xf numFmtId="43" fontId="4" fillId="0" borderId="34" xfId="215" applyNumberFormat="1" applyFont="1" applyFill="1" applyBorder="1" applyAlignment="1" applyProtection="1">
      <alignment horizontal="center" vertical="center"/>
      <protection locked="0"/>
    </xf>
    <xf numFmtId="43" fontId="4" fillId="0" borderId="4" xfId="215" applyNumberFormat="1" applyFont="1" applyFill="1" applyBorder="1" applyAlignment="1" applyProtection="1">
      <alignment horizontal="center" vertical="center"/>
      <protection locked="0"/>
    </xf>
    <xf numFmtId="43" fontId="4" fillId="0" borderId="26" xfId="215" applyNumberFormat="1" applyFont="1" applyFill="1" applyBorder="1" applyAlignment="1" applyProtection="1">
      <alignment horizontal="center" vertical="center"/>
      <protection locked="0"/>
    </xf>
    <xf numFmtId="0" fontId="4" fillId="0" borderId="34" xfId="207" applyFont="1" applyBorder="1" applyAlignment="1" applyProtection="1">
      <alignment horizontal="center" vertical="center"/>
      <protection locked="0"/>
    </xf>
    <xf numFmtId="0" fontId="4" fillId="0" borderId="4" xfId="207" applyFont="1" applyBorder="1" applyAlignment="1" applyProtection="1">
      <alignment horizontal="center" vertical="center"/>
      <protection locked="0"/>
    </xf>
    <xf numFmtId="0" fontId="4" fillId="0" borderId="26" xfId="207" applyFont="1" applyBorder="1" applyAlignment="1" applyProtection="1">
      <alignment horizontal="center" vertical="center"/>
      <protection locked="0"/>
    </xf>
    <xf numFmtId="0" fontId="49" fillId="0" borderId="36" xfId="207" applyFont="1" applyBorder="1" applyAlignment="1" applyProtection="1">
      <alignment horizontal="center" vertical="center"/>
      <protection locked="0"/>
    </xf>
    <xf numFmtId="0" fontId="49" fillId="0" borderId="46" xfId="207" applyFont="1" applyBorder="1" applyAlignment="1" applyProtection="1">
      <alignment horizontal="center" vertical="center"/>
      <protection locked="0"/>
    </xf>
    <xf numFmtId="0" fontId="4" fillId="0" borderId="2" xfId="207" applyNumberFormat="1" applyFont="1" applyBorder="1" applyAlignment="1" applyProtection="1">
      <alignment horizontal="center" vertical="center"/>
      <protection locked="0"/>
    </xf>
    <xf numFmtId="0" fontId="4" fillId="0" borderId="23" xfId="207" applyNumberFormat="1" applyFont="1" applyBorder="1" applyAlignment="1" applyProtection="1">
      <alignment horizontal="center" vertical="center"/>
      <protection locked="0"/>
    </xf>
    <xf numFmtId="0" fontId="13" fillId="0" borderId="2" xfId="207" applyFont="1" applyBorder="1" applyAlignment="1" applyProtection="1">
      <alignment horizontal="center" vertical="center"/>
      <protection locked="0"/>
    </xf>
    <xf numFmtId="0" fontId="49" fillId="0" borderId="23" xfId="207" applyFont="1" applyBorder="1" applyAlignment="1" applyProtection="1">
      <alignment horizontal="center" vertical="center"/>
      <protection locked="0"/>
    </xf>
    <xf numFmtId="0" fontId="49" fillId="0" borderId="2" xfId="207" applyFont="1" applyBorder="1" applyAlignment="1" applyProtection="1">
      <alignment horizontal="center" vertical="center"/>
      <protection locked="0"/>
    </xf>
    <xf numFmtId="0" fontId="4" fillId="0" borderId="2" xfId="207" applyFont="1" applyBorder="1" applyAlignment="1" applyProtection="1">
      <alignment horizontal="center" vertical="center"/>
      <protection locked="0"/>
    </xf>
    <xf numFmtId="0" fontId="4" fillId="0" borderId="2" xfId="197" applyFont="1" applyBorder="1" applyAlignment="1" applyProtection="1">
      <alignment horizontal="center" vertical="center"/>
      <protection locked="0"/>
    </xf>
    <xf numFmtId="0" fontId="13" fillId="0" borderId="2" xfId="207" applyNumberFormat="1" applyFont="1" applyBorder="1" applyAlignment="1" applyProtection="1">
      <alignment horizontal="center" vertical="center"/>
      <protection locked="0"/>
    </xf>
    <xf numFmtId="0" fontId="49" fillId="0" borderId="2" xfId="207" applyNumberFormat="1" applyFont="1" applyBorder="1" applyAlignment="1" applyProtection="1">
      <alignment horizontal="center" vertical="center"/>
      <protection locked="0"/>
    </xf>
    <xf numFmtId="0" fontId="7" fillId="0" borderId="19" xfId="207" applyFont="1" applyBorder="1" applyAlignment="1" applyProtection="1">
      <alignment horizontal="center" vertical="center"/>
      <protection locked="0"/>
    </xf>
    <xf numFmtId="0" fontId="4" fillId="0" borderId="19" xfId="207" applyFont="1" applyBorder="1" applyAlignment="1" applyProtection="1">
      <alignment horizontal="center" vertical="center"/>
      <protection locked="0"/>
    </xf>
    <xf numFmtId="0" fontId="7" fillId="0" borderId="2" xfId="207" applyFont="1" applyBorder="1" applyAlignment="1" applyProtection="1">
      <alignment horizontal="center" vertical="center"/>
      <protection locked="0"/>
    </xf>
    <xf numFmtId="0" fontId="13" fillId="0" borderId="52" xfId="207" applyFont="1" applyBorder="1" applyAlignment="1" applyProtection="1">
      <alignment horizontal="center" vertical="center"/>
      <protection locked="0"/>
    </xf>
    <xf numFmtId="0" fontId="49" fillId="0" borderId="53" xfId="207" applyFont="1" applyBorder="1" applyAlignment="1" applyProtection="1">
      <alignment horizontal="center" vertical="center"/>
      <protection locked="0"/>
    </xf>
    <xf numFmtId="43" fontId="7" fillId="0" borderId="34" xfId="215" applyNumberFormat="1" applyFont="1" applyFill="1" applyBorder="1" applyAlignment="1" applyProtection="1">
      <alignment horizontal="center" vertical="center"/>
      <protection locked="0"/>
    </xf>
    <xf numFmtId="43" fontId="7" fillId="0" borderId="4" xfId="215" applyNumberFormat="1" applyFont="1" applyFill="1" applyBorder="1" applyAlignment="1" applyProtection="1">
      <alignment horizontal="center" vertical="center"/>
      <protection locked="0"/>
    </xf>
    <xf numFmtId="43" fontId="7" fillId="0" borderId="26" xfId="215" applyNumberFormat="1" applyFont="1" applyFill="1" applyBorder="1" applyAlignment="1" applyProtection="1">
      <alignment horizontal="center" vertical="center"/>
      <protection locked="0"/>
    </xf>
    <xf numFmtId="0" fontId="7" fillId="0" borderId="34" xfId="241" applyFont="1" applyBorder="1" applyAlignment="1" applyProtection="1">
      <alignment horizontal="center" vertical="center"/>
      <protection locked="0"/>
    </xf>
    <xf numFmtId="0" fontId="4" fillId="0" borderId="4" xfId="241" applyFont="1" applyBorder="1" applyAlignment="1" applyProtection="1">
      <alignment horizontal="center" vertical="center"/>
      <protection locked="0"/>
    </xf>
    <xf numFmtId="0" fontId="4" fillId="0" borderId="26" xfId="241" applyFont="1" applyBorder="1" applyAlignment="1" applyProtection="1">
      <alignment horizontal="center" vertical="center"/>
      <protection locked="0"/>
    </xf>
    <xf numFmtId="0" fontId="13" fillId="0" borderId="54" xfId="207" applyFont="1" applyBorder="1" applyAlignment="1" applyProtection="1">
      <alignment horizontal="center" vertical="center"/>
      <protection locked="0"/>
    </xf>
    <xf numFmtId="0" fontId="49" fillId="0" borderId="43" xfId="207" applyFont="1" applyBorder="1" applyAlignment="1" applyProtection="1">
      <alignment horizontal="center" vertical="center"/>
      <protection locked="0"/>
    </xf>
    <xf numFmtId="0" fontId="49" fillId="0" borderId="55" xfId="207" applyFont="1" applyBorder="1" applyAlignment="1" applyProtection="1">
      <alignment horizontal="center" vertical="center"/>
      <protection locked="0"/>
    </xf>
    <xf numFmtId="0" fontId="7" fillId="0" borderId="56" xfId="207" applyFont="1" applyBorder="1" applyAlignment="1" applyProtection="1">
      <alignment horizontal="center" vertical="center"/>
      <protection locked="0"/>
    </xf>
    <xf numFmtId="0" fontId="4" fillId="0" borderId="33" xfId="207" applyFont="1" applyBorder="1" applyAlignment="1" applyProtection="1">
      <alignment horizontal="center" vertical="center"/>
      <protection locked="0"/>
    </xf>
    <xf numFmtId="0" fontId="7" fillId="0" borderId="54" xfId="207" applyNumberFormat="1" applyFont="1" applyBorder="1" applyAlignment="1" applyProtection="1">
      <alignment horizontal="center" vertical="center"/>
      <protection locked="0"/>
    </xf>
    <xf numFmtId="0" fontId="4" fillId="0" borderId="43" xfId="207" applyNumberFormat="1" applyFont="1" applyBorder="1" applyAlignment="1" applyProtection="1">
      <alignment horizontal="center" vertical="center"/>
      <protection locked="0"/>
    </xf>
    <xf numFmtId="0" fontId="4" fillId="0" borderId="55" xfId="207" applyNumberFormat="1" applyFont="1" applyBorder="1" applyAlignment="1" applyProtection="1">
      <alignment horizontal="center" vertical="center"/>
      <protection locked="0"/>
    </xf>
    <xf numFmtId="0" fontId="7" fillId="0" borderId="34" xfId="207" applyFont="1" applyBorder="1" applyAlignment="1" applyProtection="1">
      <alignment horizontal="center" vertical="center"/>
      <protection locked="0"/>
    </xf>
    <xf numFmtId="0" fontId="7" fillId="0" borderId="47" xfId="207" applyFont="1" applyBorder="1" applyAlignment="1" applyProtection="1">
      <alignment horizontal="center" vertical="center"/>
      <protection locked="0"/>
    </xf>
    <xf numFmtId="0" fontId="4" fillId="0" borderId="29" xfId="207" applyFont="1" applyBorder="1" applyAlignment="1" applyProtection="1">
      <alignment horizontal="center" vertical="center"/>
      <protection locked="0"/>
    </xf>
    <xf numFmtId="0" fontId="4" fillId="0" borderId="48" xfId="207" applyFont="1" applyBorder="1" applyAlignment="1" applyProtection="1">
      <alignment horizontal="center" vertical="center"/>
      <protection locked="0"/>
    </xf>
    <xf numFmtId="0" fontId="7" fillId="0" borderId="34" xfId="207" applyFont="1" applyBorder="1" applyAlignment="1" applyProtection="1">
      <alignment horizontal="center" vertical="center" wrapText="1"/>
      <protection locked="0"/>
    </xf>
    <xf numFmtId="0" fontId="9" fillId="0" borderId="4" xfId="0" applyFont="1" applyBorder="1" applyAlignment="1">
      <alignment vertical="center" wrapText="1"/>
    </xf>
    <xf numFmtId="0" fontId="9" fillId="0" borderId="26" xfId="0" applyFont="1" applyBorder="1" applyAlignment="1">
      <alignment vertical="center" wrapText="1"/>
    </xf>
    <xf numFmtId="0" fontId="49" fillId="0" borderId="44" xfId="207" applyFont="1" applyBorder="1" applyAlignment="1" applyProtection="1">
      <alignment horizontal="center" vertical="center"/>
      <protection locked="0"/>
    </xf>
    <xf numFmtId="0" fontId="13" fillId="0" borderId="57" xfId="207" applyFont="1" applyBorder="1" applyAlignment="1" applyProtection="1">
      <alignment horizontal="center" vertical="center"/>
      <protection locked="0"/>
    </xf>
    <xf numFmtId="0" fontId="49" fillId="0" borderId="21" xfId="207" applyFont="1" applyBorder="1" applyAlignment="1" applyProtection="1">
      <alignment horizontal="center" vertical="center"/>
      <protection locked="0"/>
    </xf>
    <xf numFmtId="0" fontId="4" fillId="0" borderId="47" xfId="207" applyFont="1" applyBorder="1" applyAlignment="1" applyProtection="1">
      <alignment horizontal="center" vertical="center"/>
      <protection locked="0"/>
    </xf>
    <xf numFmtId="0" fontId="4" fillId="0" borderId="27" xfId="207" applyFont="1" applyBorder="1" applyAlignment="1" applyProtection="1">
      <alignment horizontal="center" vertical="center"/>
      <protection locked="0"/>
    </xf>
    <xf numFmtId="0" fontId="13" fillId="0" borderId="45" xfId="207" applyFont="1" applyBorder="1" applyAlignment="1" applyProtection="1">
      <alignment horizontal="center" vertical="center"/>
      <protection locked="0"/>
    </xf>
    <xf numFmtId="0" fontId="4" fillId="0" borderId="49" xfId="207" applyFont="1" applyBorder="1" applyAlignment="1" applyProtection="1">
      <alignment horizontal="center" vertical="center"/>
      <protection locked="0"/>
    </xf>
    <xf numFmtId="0" fontId="4" fillId="0" borderId="50" xfId="207" applyFont="1" applyBorder="1" applyAlignment="1" applyProtection="1">
      <alignment horizontal="center" vertical="center"/>
      <protection locked="0"/>
    </xf>
    <xf numFmtId="0" fontId="4" fillId="0" borderId="51" xfId="207" applyFont="1" applyBorder="1" applyAlignment="1" applyProtection="1">
      <alignment horizontal="center" vertical="center"/>
      <protection locked="0"/>
    </xf>
    <xf numFmtId="0" fontId="13" fillId="0" borderId="31" xfId="207" applyFont="1" applyBorder="1" applyAlignment="1" applyProtection="1">
      <alignment horizontal="center" vertical="center"/>
      <protection locked="0"/>
    </xf>
    <xf numFmtId="0" fontId="49" fillId="0" borderId="26" xfId="207" applyFont="1" applyBorder="1" applyAlignment="1" applyProtection="1">
      <alignment horizontal="center" vertical="center"/>
      <protection locked="0"/>
    </xf>
    <xf numFmtId="0" fontId="13" fillId="0" borderId="60" xfId="207" applyFont="1" applyBorder="1" applyAlignment="1" applyProtection="1">
      <alignment horizontal="center" vertical="center"/>
      <protection locked="0"/>
    </xf>
    <xf numFmtId="0" fontId="49" fillId="0" borderId="61" xfId="207" applyFont="1" applyBorder="1" applyAlignment="1" applyProtection="1">
      <alignment horizontal="center" vertical="center"/>
      <protection locked="0"/>
    </xf>
    <xf numFmtId="0" fontId="49" fillId="0" borderId="62" xfId="207" applyFont="1" applyBorder="1" applyAlignment="1" applyProtection="1">
      <alignment horizontal="center" vertical="center"/>
      <protection locked="0"/>
    </xf>
    <xf numFmtId="0" fontId="49" fillId="0" borderId="63" xfId="207" applyFont="1" applyBorder="1" applyAlignment="1" applyProtection="1">
      <alignment horizontal="center" vertical="center"/>
      <protection locked="0"/>
    </xf>
    <xf numFmtId="0" fontId="49" fillId="0" borderId="25" xfId="207" applyFont="1" applyBorder="1" applyAlignment="1" applyProtection="1">
      <alignment horizontal="center" vertical="center"/>
      <protection locked="0"/>
    </xf>
    <xf numFmtId="0" fontId="49" fillId="0" borderId="42" xfId="207" applyFont="1" applyBorder="1" applyAlignment="1" applyProtection="1">
      <alignment horizontal="center" vertical="center"/>
      <protection locked="0"/>
    </xf>
    <xf numFmtId="0" fontId="4" fillId="0" borderId="0" xfId="197" applyNumberFormat="1" applyFont="1" applyAlignment="1" applyProtection="1">
      <alignment horizontal="center" vertical="center"/>
      <protection locked="0"/>
    </xf>
    <xf numFmtId="185" fontId="4" fillId="0" borderId="34" xfId="207" applyNumberFormat="1" applyFont="1" applyBorder="1" applyAlignment="1" applyProtection="1">
      <alignment horizontal="center" vertical="center"/>
      <protection locked="0"/>
    </xf>
    <xf numFmtId="185" fontId="4" fillId="0" borderId="32" xfId="207" applyNumberFormat="1" applyFont="1" applyBorder="1" applyAlignment="1" applyProtection="1">
      <alignment horizontal="center" vertical="center"/>
      <protection locked="0"/>
    </xf>
    <xf numFmtId="0" fontId="45" fillId="0" borderId="0" xfId="197" applyFont="1" applyAlignment="1" applyProtection="1">
      <alignment horizontal="center" vertical="center"/>
      <protection locked="0"/>
    </xf>
    <xf numFmtId="0" fontId="48" fillId="0" borderId="0" xfId="197" applyFont="1" applyAlignment="1" applyProtection="1">
      <alignment horizontal="center" vertical="center"/>
      <protection locked="0"/>
    </xf>
    <xf numFmtId="0" fontId="13" fillId="0" borderId="58" xfId="207" applyFont="1" applyBorder="1" applyAlignment="1" applyProtection="1">
      <alignment horizontal="center" vertical="center"/>
      <protection locked="0"/>
    </xf>
    <xf numFmtId="0" fontId="49" fillId="0" borderId="57" xfId="207" applyFont="1" applyBorder="1" applyAlignment="1" applyProtection="1">
      <alignment horizontal="center" vertical="center"/>
      <protection locked="0"/>
    </xf>
    <xf numFmtId="0" fontId="13" fillId="0" borderId="20" xfId="197" applyFont="1" applyBorder="1" applyAlignment="1" applyProtection="1">
      <alignment horizontal="center" vertical="center"/>
      <protection locked="0"/>
    </xf>
    <xf numFmtId="0" fontId="49" fillId="0" borderId="2" xfId="197" applyFont="1" applyBorder="1" applyAlignment="1" applyProtection="1">
      <alignment horizontal="center" vertical="center"/>
      <protection locked="0"/>
    </xf>
    <xf numFmtId="0" fontId="4" fillId="0" borderId="59" xfId="207" applyFont="1" applyBorder="1" applyAlignment="1" applyProtection="1">
      <alignment horizontal="center" vertical="center"/>
      <protection locked="0"/>
    </xf>
    <xf numFmtId="0" fontId="4" fillId="0" borderId="46" xfId="207" applyFont="1" applyBorder="1" applyAlignment="1" applyProtection="1">
      <alignment horizontal="center" vertical="center"/>
      <protection locked="0"/>
    </xf>
    <xf numFmtId="0" fontId="13" fillId="0" borderId="56" xfId="207" applyFont="1" applyBorder="1" applyAlignment="1" applyProtection="1">
      <alignment horizontal="center" vertical="center"/>
      <protection locked="0"/>
    </xf>
    <xf numFmtId="0" fontId="49" fillId="0" borderId="33" xfId="207" applyFont="1" applyBorder="1" applyAlignment="1" applyProtection="1">
      <alignment horizontal="center" vertical="center"/>
      <protection locked="0"/>
    </xf>
    <xf numFmtId="187" fontId="47" fillId="0" borderId="0" xfId="149" applyNumberFormat="1" applyFont="1" applyFill="1" applyBorder="1" applyAlignment="1" applyProtection="1">
      <alignment horizontal="center" vertical="center"/>
      <protection locked="0"/>
    </xf>
    <xf numFmtId="187" fontId="48" fillId="0" borderId="0" xfId="149" applyNumberFormat="1" applyFont="1" applyFill="1" applyBorder="1" applyAlignment="1" applyProtection="1">
      <alignment horizontal="center" vertical="center"/>
      <protection locked="0"/>
    </xf>
    <xf numFmtId="0" fontId="4" fillId="0" borderId="0" xfId="149" applyNumberFormat="1" applyFont="1" applyFill="1" applyBorder="1" applyAlignment="1" applyProtection="1">
      <alignment horizontal="center" vertical="center"/>
      <protection locked="0"/>
    </xf>
    <xf numFmtId="187" fontId="7" fillId="0" borderId="25" xfId="149" applyNumberFormat="1" applyFont="1" applyFill="1" applyBorder="1" applyAlignment="1" applyProtection="1">
      <alignment horizontal="left" vertical="center"/>
      <protection locked="0"/>
    </xf>
    <xf numFmtId="187" fontId="4" fillId="0" borderId="25" xfId="149" applyNumberFormat="1" applyFont="1" applyFill="1" applyBorder="1" applyAlignment="1" applyProtection="1">
      <alignment horizontal="left" vertical="center"/>
      <protection locked="0"/>
    </xf>
    <xf numFmtId="0" fontId="63" fillId="0" borderId="0" xfId="204" applyFont="1" applyFill="1" applyAlignment="1">
      <alignment horizontal="center" vertical="center"/>
    </xf>
    <xf numFmtId="0" fontId="6" fillId="0" borderId="0" xfId="204" applyFont="1" applyFill="1" applyAlignment="1">
      <alignment horizontal="center" vertical="center"/>
    </xf>
    <xf numFmtId="0" fontId="60" fillId="0" borderId="0" xfId="0" applyFont="1" applyAlignment="1">
      <alignment horizontal="center" vertical="center" wrapText="1"/>
    </xf>
    <xf numFmtId="0" fontId="61" fillId="0" borderId="0" xfId="0" applyFont="1" applyAlignment="1">
      <alignment horizontal="center" vertical="center" wrapText="1"/>
    </xf>
    <xf numFmtId="182" fontId="4" fillId="0" borderId="0" xfId="0" applyNumberFormat="1" applyFont="1" applyAlignment="1">
      <alignment horizontal="center" vertical="center"/>
    </xf>
    <xf numFmtId="0" fontId="39" fillId="0" borderId="34" xfId="0" applyFont="1" applyBorder="1" applyAlignment="1">
      <alignment horizontal="center" vertical="center"/>
    </xf>
    <xf numFmtId="0" fontId="39" fillId="0" borderId="4" xfId="0" applyFont="1" applyBorder="1" applyAlignment="1">
      <alignment horizontal="center" vertical="center"/>
    </xf>
    <xf numFmtId="0" fontId="39" fillId="0" borderId="26" xfId="0" applyFont="1" applyBorder="1" applyAlignment="1">
      <alignment horizontal="center" vertical="center"/>
    </xf>
    <xf numFmtId="0" fontId="39" fillId="0" borderId="34" xfId="0" applyFont="1" applyBorder="1" applyAlignment="1">
      <alignment horizontal="left" vertical="center"/>
    </xf>
    <xf numFmtId="0" fontId="39" fillId="0" borderId="4" xfId="0" applyFont="1" applyBorder="1" applyAlignment="1">
      <alignment horizontal="left" vertical="center"/>
    </xf>
    <xf numFmtId="0" fontId="39" fillId="0" borderId="26" xfId="0" applyFont="1" applyBorder="1" applyAlignment="1">
      <alignment horizontal="left" vertical="center"/>
    </xf>
    <xf numFmtId="0" fontId="39" fillId="0" borderId="47"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27" xfId="0" applyFont="1" applyBorder="1" applyAlignment="1">
      <alignment horizontal="center" vertical="center" wrapText="1"/>
    </xf>
    <xf numFmtId="0" fontId="60" fillId="0" borderId="0" xfId="0" applyFont="1" applyAlignment="1" applyProtection="1">
      <alignment horizontal="center" vertical="center" wrapText="1"/>
    </xf>
    <xf numFmtId="0" fontId="61" fillId="0" borderId="0" xfId="0" applyFont="1" applyAlignment="1" applyProtection="1">
      <alignment horizontal="center" vertical="center" wrapText="1"/>
    </xf>
    <xf numFmtId="182" fontId="4" fillId="0" borderId="0" xfId="0" applyNumberFormat="1" applyFont="1" applyAlignment="1" applyProtection="1">
      <alignment horizontal="center" vertical="center"/>
    </xf>
    <xf numFmtId="0" fontId="4" fillId="0" borderId="0" xfId="0" applyNumberFormat="1" applyFont="1" applyAlignment="1" applyProtection="1">
      <alignment horizontal="center" vertical="center"/>
    </xf>
    <xf numFmtId="0" fontId="7" fillId="0" borderId="34" xfId="0" applyFont="1" applyBorder="1" applyAlignment="1" applyProtection="1">
      <alignment horizontal="center" vertical="center"/>
    </xf>
    <xf numFmtId="0" fontId="7" fillId="0" borderId="26" xfId="0" applyFont="1" applyBorder="1" applyAlignment="1" applyProtection="1">
      <alignment horizontal="center" vertical="center"/>
    </xf>
    <xf numFmtId="0" fontId="4" fillId="0" borderId="0" xfId="0" applyNumberFormat="1" applyFont="1" applyAlignment="1">
      <alignment horizontal="center" vertical="center"/>
    </xf>
    <xf numFmtId="0" fontId="7" fillId="0" borderId="34" xfId="0" applyFont="1" applyBorder="1" applyAlignment="1">
      <alignment horizontal="center" vertical="center"/>
    </xf>
    <xf numFmtId="0" fontId="7" fillId="0" borderId="26" xfId="0" applyFont="1" applyBorder="1" applyAlignment="1">
      <alignment horizontal="center" vertical="center"/>
    </xf>
    <xf numFmtId="0" fontId="7" fillId="29" borderId="2" xfId="148" applyFont="1" applyFill="1" applyBorder="1" applyAlignment="1">
      <alignment horizontal="center" vertical="center" wrapText="1"/>
    </xf>
    <xf numFmtId="0" fontId="4" fillId="29" borderId="2" xfId="148" applyFont="1" applyFill="1" applyBorder="1" applyAlignment="1">
      <alignment horizontal="center" vertical="center" wrapText="1"/>
    </xf>
    <xf numFmtId="180" fontId="110" fillId="29" borderId="2" xfId="0" applyNumberFormat="1" applyFont="1" applyFill="1" applyBorder="1" applyAlignment="1">
      <alignment horizontal="center" vertical="center" wrapText="1"/>
    </xf>
    <xf numFmtId="180" fontId="29" fillId="29"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4" fillId="0" borderId="2" xfId="0" applyFont="1" applyBorder="1" applyAlignment="1">
      <alignment horizontal="center" vertical="center"/>
    </xf>
    <xf numFmtId="0" fontId="7" fillId="0" borderId="1" xfId="0" applyFont="1" applyBorder="1" applyAlignment="1">
      <alignment horizontal="center" vertical="center" wrapText="1"/>
    </xf>
    <xf numFmtId="0" fontId="4" fillId="0" borderId="33" xfId="0" applyFont="1" applyBorder="1" applyAlignment="1">
      <alignment horizontal="center" vertical="center" wrapText="1"/>
    </xf>
    <xf numFmtId="0" fontId="7" fillId="0" borderId="1"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3" xfId="0" applyFont="1" applyBorder="1" applyAlignment="1">
      <alignment horizontal="center" vertical="center" wrapText="1"/>
    </xf>
    <xf numFmtId="0" fontId="61" fillId="0" borderId="0" xfId="0" applyFont="1" applyAlignment="1">
      <alignment horizontal="center" vertical="center"/>
    </xf>
    <xf numFmtId="180" fontId="7" fillId="0" borderId="2" xfId="0" applyNumberFormat="1" applyFont="1" applyBorder="1" applyAlignment="1">
      <alignment horizontal="center" vertical="center"/>
    </xf>
    <xf numFmtId="180" fontId="4" fillId="0" borderId="2" xfId="0" applyNumberFormat="1" applyFont="1" applyBorder="1" applyAlignment="1">
      <alignment horizontal="center" vertical="center"/>
    </xf>
    <xf numFmtId="180" fontId="7" fillId="0" borderId="47" xfId="0" applyNumberFormat="1" applyFont="1" applyBorder="1" applyAlignment="1">
      <alignment horizontal="center" vertical="center" wrapText="1"/>
    </xf>
    <xf numFmtId="180" fontId="7" fillId="0" borderId="29" xfId="0" applyNumberFormat="1" applyFont="1" applyBorder="1" applyAlignment="1">
      <alignment horizontal="center" vertical="center" wrapText="1"/>
    </xf>
    <xf numFmtId="180" fontId="7" fillId="0" borderId="27" xfId="0" applyNumberFormat="1" applyFont="1" applyBorder="1" applyAlignment="1">
      <alignment horizontal="center" vertical="center" wrapText="1"/>
    </xf>
    <xf numFmtId="180" fontId="7" fillId="0" borderId="34" xfId="0" applyNumberFormat="1" applyFont="1" applyBorder="1" applyAlignment="1">
      <alignment horizontal="center" vertical="center" wrapText="1"/>
    </xf>
    <xf numFmtId="180" fontId="7" fillId="0" borderId="4" xfId="0" applyNumberFormat="1" applyFont="1" applyBorder="1" applyAlignment="1">
      <alignment horizontal="center" vertical="center" wrapText="1"/>
    </xf>
    <xf numFmtId="180" fontId="7" fillId="0" borderId="26"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180" fontId="7" fillId="0" borderId="2" xfId="0" applyNumberFormat="1" applyFont="1" applyBorder="1" applyAlignment="1">
      <alignment horizontal="center" vertical="center" wrapText="1"/>
    </xf>
    <xf numFmtId="180" fontId="4" fillId="0" borderId="2" xfId="0" applyNumberFormat="1" applyFont="1" applyBorder="1" applyAlignment="1">
      <alignment horizontal="center" vertical="center" wrapText="1"/>
    </xf>
    <xf numFmtId="0" fontId="7" fillId="0" borderId="1"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132" fillId="0" borderId="1" xfId="0" applyFont="1" applyBorder="1" applyAlignment="1">
      <alignment horizontal="center" vertical="center" wrapText="1"/>
    </xf>
    <xf numFmtId="0" fontId="0" fillId="0" borderId="2" xfId="0" applyBorder="1" applyAlignment="1">
      <alignment horizontal="center" vertical="center" wrapText="1"/>
    </xf>
    <xf numFmtId="0" fontId="4" fillId="0" borderId="26" xfId="0" applyFont="1" applyBorder="1" applyAlignment="1">
      <alignment horizontal="center" vertical="center"/>
    </xf>
    <xf numFmtId="0" fontId="60" fillId="0" borderId="0" xfId="217" applyFont="1" applyAlignment="1">
      <alignment horizontal="center" vertical="center" wrapText="1"/>
    </xf>
    <xf numFmtId="182" fontId="7" fillId="0" borderId="0" xfId="217" applyNumberFormat="1" applyFont="1" applyAlignment="1">
      <alignment horizontal="center" vertical="center"/>
    </xf>
    <xf numFmtId="182" fontId="4" fillId="0" borderId="0" xfId="217" applyNumberFormat="1" applyFont="1" applyAlignment="1">
      <alignment horizontal="center" vertical="center"/>
    </xf>
    <xf numFmtId="0" fontId="7" fillId="0" borderId="2" xfId="217" applyFont="1" applyBorder="1" applyAlignment="1">
      <alignment horizontal="center" vertical="center"/>
    </xf>
    <xf numFmtId="0" fontId="4" fillId="0" borderId="2" xfId="217" applyFont="1" applyBorder="1" applyAlignment="1">
      <alignment horizontal="center" vertical="center"/>
    </xf>
    <xf numFmtId="0" fontId="7" fillId="0" borderId="1" xfId="217" applyFont="1" applyBorder="1" applyAlignment="1">
      <alignment horizontal="center" vertical="center" wrapText="1"/>
    </xf>
    <xf numFmtId="0" fontId="4" fillId="0" borderId="33" xfId="217" applyFont="1" applyBorder="1" applyAlignment="1">
      <alignment horizontal="center" vertical="center" wrapText="1"/>
    </xf>
    <xf numFmtId="0" fontId="7" fillId="0" borderId="25" xfId="217" applyFont="1" applyBorder="1" applyAlignment="1">
      <alignment horizontal="right" vertical="center" wrapText="1"/>
    </xf>
    <xf numFmtId="0" fontId="7" fillId="0" borderId="1" xfId="208" applyFont="1" applyFill="1" applyBorder="1" applyAlignment="1">
      <alignment horizontal="center" vertical="center" wrapText="1"/>
    </xf>
    <xf numFmtId="0" fontId="4" fillId="0" borderId="33" xfId="208" applyFont="1" applyFill="1" applyBorder="1" applyAlignment="1">
      <alignment horizontal="center" vertical="center" wrapText="1"/>
    </xf>
    <xf numFmtId="0" fontId="7" fillId="0" borderId="2" xfId="217" applyFont="1" applyBorder="1" applyAlignment="1">
      <alignment horizontal="center" vertical="center" wrapText="1"/>
    </xf>
    <xf numFmtId="182" fontId="4" fillId="0" borderId="0" xfId="217" applyNumberFormat="1" applyFont="1" applyAlignment="1">
      <alignment horizontal="left" vertical="center" wrapText="1"/>
    </xf>
    <xf numFmtId="0" fontId="7" fillId="0" borderId="34" xfId="217" applyFont="1" applyBorder="1" applyAlignment="1">
      <alignment horizontal="center" vertical="center"/>
    </xf>
    <xf numFmtId="0" fontId="4" fillId="0" borderId="26" xfId="217" applyFont="1" applyBorder="1" applyAlignment="1">
      <alignment horizontal="center" vertical="center"/>
    </xf>
    <xf numFmtId="0" fontId="7" fillId="0" borderId="33" xfId="217" applyFont="1" applyBorder="1" applyAlignment="1">
      <alignment horizontal="center" vertical="center" wrapText="1"/>
    </xf>
    <xf numFmtId="0" fontId="105" fillId="0" borderId="0" xfId="217" applyFont="1" applyAlignment="1">
      <alignment horizontal="center" vertical="center" wrapText="1"/>
    </xf>
    <xf numFmtId="0" fontId="7" fillId="0" borderId="4" xfId="217" applyFont="1" applyBorder="1" applyAlignment="1">
      <alignment horizontal="center" vertical="center"/>
    </xf>
    <xf numFmtId="0" fontId="7" fillId="0" borderId="26" xfId="217" applyFont="1" applyBorder="1" applyAlignment="1">
      <alignment horizontal="center" vertical="center"/>
    </xf>
    <xf numFmtId="0" fontId="1" fillId="0" borderId="4" xfId="217" applyBorder="1"/>
    <xf numFmtId="0" fontId="1" fillId="0" borderId="26" xfId="217" applyBorder="1"/>
    <xf numFmtId="43" fontId="4" fillId="0" borderId="34" xfId="217" applyNumberFormat="1" applyFont="1" applyBorder="1" applyAlignment="1">
      <alignment horizontal="center" vertical="center"/>
    </xf>
    <xf numFmtId="43" fontId="4" fillId="0" borderId="26" xfId="217" applyNumberFormat="1" applyFont="1" applyBorder="1" applyAlignment="1">
      <alignment horizontal="center" vertical="center"/>
    </xf>
    <xf numFmtId="182" fontId="4" fillId="0" borderId="25" xfId="217" applyNumberFormat="1" applyFont="1" applyBorder="1" applyAlignment="1">
      <alignment horizontal="left" vertical="center" wrapText="1"/>
    </xf>
    <xf numFmtId="0" fontId="7" fillId="0" borderId="1" xfId="217" applyFont="1" applyBorder="1" applyAlignment="1">
      <alignment horizontal="center" vertical="center"/>
    </xf>
    <xf numFmtId="0" fontId="7" fillId="0" borderId="33" xfId="217" applyFont="1" applyBorder="1" applyAlignment="1">
      <alignment horizontal="center" vertical="center"/>
    </xf>
    <xf numFmtId="0" fontId="7" fillId="29" borderId="2" xfId="217" applyFont="1" applyFill="1" applyBorder="1" applyAlignment="1">
      <alignment horizontal="center" vertical="center" wrapText="1"/>
    </xf>
    <xf numFmtId="0" fontId="4" fillId="29" borderId="2" xfId="217" applyFont="1" applyFill="1" applyBorder="1" applyAlignment="1">
      <alignment horizontal="center" vertical="center"/>
    </xf>
    <xf numFmtId="0" fontId="7" fillId="0" borderId="47" xfId="217" applyFont="1" applyBorder="1" applyAlignment="1">
      <alignment horizontal="center" vertical="center" wrapText="1"/>
    </xf>
    <xf numFmtId="0" fontId="7" fillId="0" borderId="27" xfId="217" applyFont="1" applyBorder="1" applyAlignment="1">
      <alignment horizontal="center" vertical="center" wrapText="1"/>
    </xf>
    <xf numFmtId="0" fontId="7" fillId="0" borderId="64" xfId="217" applyFont="1" applyBorder="1" applyAlignment="1">
      <alignment horizontal="center" vertical="center" wrapText="1"/>
    </xf>
    <xf numFmtId="0" fontId="7" fillId="0" borderId="42" xfId="217" applyFont="1" applyBorder="1" applyAlignment="1">
      <alignment horizontal="center" vertical="center" wrapText="1"/>
    </xf>
    <xf numFmtId="0" fontId="7" fillId="0" borderId="34" xfId="217" applyFont="1" applyBorder="1" applyAlignment="1">
      <alignment horizontal="left" vertical="center"/>
    </xf>
    <xf numFmtId="0" fontId="7" fillId="0" borderId="4" xfId="217" applyFont="1" applyBorder="1" applyAlignment="1">
      <alignment horizontal="left" vertical="center"/>
    </xf>
    <xf numFmtId="0" fontId="7" fillId="0" borderId="26" xfId="217" applyFont="1" applyBorder="1" applyAlignment="1">
      <alignment horizontal="left" vertical="center"/>
    </xf>
    <xf numFmtId="0" fontId="4" fillId="0" borderId="0" xfId="217" applyNumberFormat="1" applyFont="1" applyAlignment="1">
      <alignment horizontal="center" vertical="center"/>
    </xf>
    <xf numFmtId="0" fontId="7" fillId="0" borderId="34"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26" xfId="0" applyFont="1" applyBorder="1" applyAlignment="1">
      <alignment horizontal="center" vertical="center" shrinkToFit="1"/>
    </xf>
    <xf numFmtId="0" fontId="7" fillId="29" borderId="2" xfId="0" applyFont="1" applyFill="1" applyBorder="1" applyAlignment="1">
      <alignment horizontal="center" vertical="center" wrapText="1"/>
    </xf>
    <xf numFmtId="0" fontId="4" fillId="29" borderId="2" xfId="0" applyFont="1" applyFill="1" applyBorder="1" applyAlignment="1">
      <alignment horizontal="center" vertical="center"/>
    </xf>
    <xf numFmtId="0" fontId="7" fillId="29" borderId="1" xfId="0" applyFont="1" applyFill="1" applyBorder="1" applyAlignment="1">
      <alignment horizontal="center" vertical="center" wrapText="1"/>
    </xf>
    <xf numFmtId="0" fontId="7" fillId="29" borderId="33" xfId="0" applyFont="1" applyFill="1" applyBorder="1" applyAlignment="1">
      <alignment horizontal="center" vertical="center" wrapText="1"/>
    </xf>
    <xf numFmtId="0" fontId="4" fillId="0" borderId="26" xfId="0" applyFont="1" applyBorder="1" applyAlignment="1">
      <alignment horizontal="center" vertical="center" wrapText="1"/>
    </xf>
    <xf numFmtId="0" fontId="141" fillId="0" borderId="1" xfId="0" applyFont="1" applyBorder="1" applyAlignment="1">
      <alignment horizontal="center" vertical="center" wrapText="1"/>
    </xf>
    <xf numFmtId="0" fontId="141" fillId="0" borderId="33" xfId="0" applyFont="1" applyBorder="1" applyAlignment="1">
      <alignment horizontal="center" vertical="center" wrapText="1"/>
    </xf>
    <xf numFmtId="0" fontId="141" fillId="0" borderId="2" xfId="0" applyFont="1" applyBorder="1" applyAlignment="1">
      <alignment horizontal="center" vertical="center"/>
    </xf>
    <xf numFmtId="0" fontId="144" fillId="0" borderId="2" xfId="0" applyFont="1" applyBorder="1" applyAlignment="1">
      <alignment horizontal="center" vertical="center"/>
    </xf>
    <xf numFmtId="0" fontId="7" fillId="29" borderId="2" xfId="216" applyFont="1" applyFill="1" applyBorder="1" applyAlignment="1">
      <alignment horizontal="center" vertical="center"/>
    </xf>
    <xf numFmtId="0" fontId="4" fillId="29" borderId="2" xfId="216" applyFont="1" applyFill="1" applyBorder="1" applyAlignment="1">
      <alignment horizontal="center" vertical="center"/>
    </xf>
    <xf numFmtId="43" fontId="4" fillId="35" borderId="1" xfId="0" applyNumberFormat="1" applyFont="1" applyFill="1" applyBorder="1" applyAlignment="1">
      <alignment horizontal="center" vertical="center" shrinkToFit="1"/>
    </xf>
    <xf numFmtId="43" fontId="4" fillId="35" borderId="65" xfId="0" applyNumberFormat="1" applyFont="1" applyFill="1" applyBorder="1" applyAlignment="1">
      <alignment horizontal="center" vertical="center" shrinkToFit="1"/>
    </xf>
    <xf numFmtId="43" fontId="4" fillId="35" borderId="33" xfId="0" applyNumberFormat="1" applyFont="1" applyFill="1" applyBorder="1" applyAlignment="1">
      <alignment horizontal="center" vertical="center" shrinkToFit="1"/>
    </xf>
    <xf numFmtId="0" fontId="7" fillId="35" borderId="2" xfId="0" applyFont="1" applyFill="1" applyBorder="1" applyAlignment="1">
      <alignment horizontal="center" vertical="center" wrapText="1"/>
    </xf>
    <xf numFmtId="0" fontId="4" fillId="35" borderId="2" xfId="0" applyFont="1" applyFill="1" applyBorder="1" applyAlignment="1">
      <alignment horizontal="center" vertical="center"/>
    </xf>
    <xf numFmtId="9" fontId="13" fillId="0" borderId="2" xfId="172" applyFont="1" applyFill="1" applyBorder="1" applyAlignment="1">
      <alignment horizontal="center" vertical="center" wrapText="1"/>
    </xf>
    <xf numFmtId="9" fontId="49" fillId="0" borderId="2" xfId="172" applyFont="1" applyFill="1" applyBorder="1" applyAlignment="1">
      <alignment horizontal="center" vertical="center" wrapText="1"/>
    </xf>
    <xf numFmtId="181" fontId="7" fillId="0" borderId="2" xfId="196" applyNumberFormat="1" applyFont="1" applyFill="1" applyBorder="1" applyAlignment="1">
      <alignment horizontal="center" vertical="center" wrapText="1"/>
    </xf>
    <xf numFmtId="181" fontId="4" fillId="0" borderId="2" xfId="196" applyNumberFormat="1" applyFont="1" applyFill="1" applyBorder="1" applyAlignment="1">
      <alignment horizontal="center" vertical="center"/>
    </xf>
    <xf numFmtId="0" fontId="13" fillId="0" borderId="2" xfId="261" applyFont="1" applyFill="1" applyBorder="1" applyAlignment="1" applyProtection="1">
      <alignment horizontal="center" vertical="center" wrapText="1"/>
      <protection locked="0"/>
    </xf>
    <xf numFmtId="0" fontId="7" fillId="0" borderId="2" xfId="196" applyFont="1" applyFill="1" applyBorder="1" applyAlignment="1">
      <alignment horizontal="center" vertical="center" wrapText="1"/>
    </xf>
    <xf numFmtId="0" fontId="4" fillId="0" borderId="2" xfId="196" applyFont="1" applyFill="1" applyBorder="1" applyAlignment="1">
      <alignment horizontal="center" vertical="center"/>
    </xf>
    <xf numFmtId="0" fontId="7" fillId="0" borderId="4" xfId="0" applyFont="1" applyBorder="1" applyAlignment="1">
      <alignment horizontal="center" vertical="center"/>
    </xf>
    <xf numFmtId="0" fontId="7" fillId="0" borderId="2" xfId="261" applyFont="1" applyFill="1" applyBorder="1" applyAlignment="1">
      <alignment horizontal="center" vertical="center"/>
    </xf>
    <xf numFmtId="181" fontId="7" fillId="0" borderId="2" xfId="261" applyNumberFormat="1" applyFont="1" applyFill="1" applyBorder="1" applyAlignment="1">
      <alignment horizontal="center" vertical="center"/>
    </xf>
    <xf numFmtId="0" fontId="7" fillId="0" borderId="0" xfId="0" applyFont="1" applyBorder="1" applyAlignment="1">
      <alignment horizontal="center" vertical="center" wrapText="1"/>
    </xf>
    <xf numFmtId="0" fontId="7" fillId="0" borderId="34" xfId="199" applyFont="1" applyBorder="1" applyAlignment="1">
      <alignment horizontal="center" vertical="center" wrapText="1"/>
    </xf>
    <xf numFmtId="0" fontId="7" fillId="0" borderId="4" xfId="199" applyFont="1" applyBorder="1" applyAlignment="1">
      <alignment horizontal="center" vertical="center" wrapText="1"/>
    </xf>
    <xf numFmtId="0" fontId="7" fillId="0" borderId="26" xfId="199" applyFont="1" applyBorder="1" applyAlignment="1">
      <alignment horizontal="center" vertical="center" wrapText="1"/>
    </xf>
    <xf numFmtId="0" fontId="4" fillId="0" borderId="34" xfId="199" applyFont="1" applyBorder="1" applyAlignment="1">
      <alignment horizontal="center" vertical="center" wrapText="1"/>
    </xf>
    <xf numFmtId="0" fontId="4" fillId="0" borderId="26" xfId="199" applyFont="1" applyBorder="1" applyAlignment="1">
      <alignment horizontal="center" vertical="center" wrapText="1"/>
    </xf>
    <xf numFmtId="0" fontId="13" fillId="0" borderId="2" xfId="200" applyFont="1" applyFill="1" applyBorder="1" applyAlignment="1">
      <alignment horizontal="center" vertical="center" wrapText="1"/>
    </xf>
    <xf numFmtId="0" fontId="13" fillId="0" borderId="2" xfId="214" applyNumberFormat="1" applyFont="1" applyFill="1" applyBorder="1" applyAlignment="1">
      <alignment horizontal="center" vertical="center" wrapText="1"/>
    </xf>
    <xf numFmtId="0" fontId="49" fillId="0" borderId="2" xfId="214" applyNumberFormat="1" applyFont="1" applyFill="1" applyBorder="1" applyAlignment="1">
      <alignment horizontal="center" vertical="center" wrapText="1"/>
    </xf>
    <xf numFmtId="0" fontId="13" fillId="32" borderId="2" xfId="200" applyFont="1" applyFill="1" applyBorder="1" applyAlignment="1">
      <alignment horizontal="center" vertical="center" wrapText="1"/>
    </xf>
    <xf numFmtId="0" fontId="113" fillId="32" borderId="1" xfId="200" applyFont="1" applyFill="1" applyBorder="1" applyAlignment="1">
      <alignment horizontal="center" vertical="center" wrapText="1"/>
    </xf>
    <xf numFmtId="0" fontId="113" fillId="32" borderId="65" xfId="200" applyFont="1" applyFill="1" applyBorder="1" applyAlignment="1">
      <alignment horizontal="center" vertical="center" wrapText="1"/>
    </xf>
    <xf numFmtId="0" fontId="113" fillId="32" borderId="33" xfId="200" applyFont="1" applyFill="1" applyBorder="1" applyAlignment="1">
      <alignment horizontal="center" vertical="center" wrapText="1"/>
    </xf>
    <xf numFmtId="0" fontId="114" fillId="32" borderId="2" xfId="200" applyFont="1" applyFill="1" applyBorder="1" applyAlignment="1">
      <alignment horizontal="center" vertical="center" wrapText="1"/>
    </xf>
    <xf numFmtId="0" fontId="115" fillId="32" borderId="2" xfId="261" applyFont="1" applyFill="1" applyBorder="1" applyAlignment="1">
      <alignment horizontal="center" vertical="center" wrapText="1"/>
    </xf>
    <xf numFmtId="0" fontId="114" fillId="32" borderId="1" xfId="200" applyFont="1" applyFill="1" applyBorder="1" applyAlignment="1">
      <alignment horizontal="center" vertical="center" wrapText="1"/>
    </xf>
    <xf numFmtId="0" fontId="114" fillId="32" borderId="33" xfId="200" applyFont="1" applyFill="1" applyBorder="1" applyAlignment="1">
      <alignment horizontal="center" vertical="center" wrapText="1"/>
    </xf>
    <xf numFmtId="0" fontId="49" fillId="32" borderId="2" xfId="213" applyFont="1" applyFill="1" applyBorder="1" applyAlignment="1">
      <alignment horizontal="center" vertical="center"/>
    </xf>
    <xf numFmtId="0" fontId="13" fillId="32" borderId="2" xfId="213" applyFont="1" applyFill="1" applyBorder="1" applyAlignment="1">
      <alignment horizontal="center" vertical="center"/>
    </xf>
    <xf numFmtId="0" fontId="13" fillId="32" borderId="34" xfId="200" applyFont="1" applyFill="1" applyBorder="1" applyAlignment="1">
      <alignment horizontal="center" vertical="center" wrapText="1"/>
    </xf>
    <xf numFmtId="0" fontId="13" fillId="32" borderId="4" xfId="200" applyFont="1" applyFill="1" applyBorder="1" applyAlignment="1">
      <alignment horizontal="center" vertical="center" wrapText="1"/>
    </xf>
    <xf numFmtId="0" fontId="13" fillId="32" borderId="26" xfId="200" applyFont="1" applyFill="1" applyBorder="1" applyAlignment="1">
      <alignment horizontal="center" vertical="center" wrapText="1"/>
    </xf>
    <xf numFmtId="181" fontId="13" fillId="0" borderId="47" xfId="214" applyNumberFormat="1" applyFont="1" applyFill="1" applyBorder="1" applyAlignment="1">
      <alignment horizontal="center" vertical="center"/>
    </xf>
    <xf numFmtId="181" fontId="13" fillId="0" borderId="27" xfId="214" applyNumberFormat="1" applyFont="1" applyFill="1" applyBorder="1" applyAlignment="1">
      <alignment horizontal="center" vertical="center"/>
    </xf>
    <xf numFmtId="181" fontId="13" fillId="0" borderId="66" xfId="214" applyNumberFormat="1" applyFont="1" applyFill="1" applyBorder="1" applyAlignment="1">
      <alignment horizontal="center" vertical="center"/>
    </xf>
    <xf numFmtId="181" fontId="13" fillId="0" borderId="67" xfId="214" applyNumberFormat="1" applyFont="1" applyFill="1" applyBorder="1" applyAlignment="1">
      <alignment horizontal="center" vertical="center"/>
    </xf>
    <xf numFmtId="181" fontId="13" fillId="0" borderId="64" xfId="214" applyNumberFormat="1" applyFont="1" applyFill="1" applyBorder="1" applyAlignment="1">
      <alignment horizontal="center" vertical="center"/>
    </xf>
    <xf numFmtId="181" fontId="13" fillId="0" borderId="42" xfId="214" applyNumberFormat="1" applyFont="1" applyFill="1" applyBorder="1" applyAlignment="1">
      <alignment horizontal="center" vertical="center"/>
    </xf>
    <xf numFmtId="0" fontId="9" fillId="0" borderId="27" xfId="212" applyFont="1" applyFill="1" applyBorder="1" applyAlignment="1">
      <alignment horizontal="center" vertical="center"/>
    </xf>
    <xf numFmtId="0" fontId="9" fillId="0" borderId="66" xfId="212" applyFont="1" applyFill="1" applyBorder="1" applyAlignment="1">
      <alignment horizontal="center" vertical="center"/>
    </xf>
    <xf numFmtId="0" fontId="9" fillId="0" borderId="67" xfId="212" applyFont="1" applyFill="1" applyBorder="1" applyAlignment="1">
      <alignment horizontal="center" vertical="center"/>
    </xf>
    <xf numFmtId="0" fontId="9" fillId="0" borderId="64" xfId="212" applyFont="1" applyFill="1" applyBorder="1" applyAlignment="1">
      <alignment horizontal="center" vertical="center"/>
    </xf>
    <xf numFmtId="0" fontId="9" fillId="0" borderId="42" xfId="212" applyFont="1" applyFill="1" applyBorder="1" applyAlignment="1">
      <alignment horizontal="center" vertical="center"/>
    </xf>
    <xf numFmtId="49" fontId="13" fillId="0" borderId="2" xfId="200" applyNumberFormat="1" applyFont="1" applyFill="1" applyBorder="1" applyAlignment="1">
      <alignment horizontal="center" vertical="center" wrapText="1"/>
    </xf>
    <xf numFmtId="0" fontId="11" fillId="0" borderId="2" xfId="212" applyFont="1" applyFill="1" applyBorder="1" applyAlignment="1">
      <alignment vertical="center"/>
    </xf>
    <xf numFmtId="0" fontId="13" fillId="0" borderId="2" xfId="213" applyFont="1" applyFill="1" applyBorder="1" applyAlignment="1">
      <alignment horizontal="center" vertical="center"/>
    </xf>
    <xf numFmtId="0" fontId="11" fillId="0" borderId="2" xfId="212" applyFont="1" applyFill="1" applyBorder="1" applyAlignment="1">
      <alignment horizontal="center" vertical="center"/>
    </xf>
    <xf numFmtId="0" fontId="11" fillId="32" borderId="2" xfId="212" applyFont="1" applyFill="1" applyBorder="1" applyAlignment="1">
      <alignment horizontal="center" vertical="center"/>
    </xf>
    <xf numFmtId="0" fontId="60" fillId="0" borderId="0" xfId="0" applyFont="1" applyAlignment="1">
      <alignment horizontal="center"/>
    </xf>
    <xf numFmtId="182" fontId="4" fillId="0" borderId="0" xfId="209" applyNumberFormat="1" applyFont="1" applyFill="1" applyAlignment="1">
      <alignment horizontal="center" vertical="center"/>
    </xf>
    <xf numFmtId="0" fontId="13" fillId="0" borderId="47" xfId="214" applyNumberFormat="1" applyFont="1" applyFill="1" applyBorder="1" applyAlignment="1">
      <alignment horizontal="center" vertical="center"/>
    </xf>
    <xf numFmtId="0" fontId="13" fillId="0" borderId="29" xfId="214" applyNumberFormat="1" applyFont="1" applyFill="1" applyBorder="1" applyAlignment="1">
      <alignment horizontal="center" vertical="center"/>
    </xf>
    <xf numFmtId="0" fontId="13" fillId="0" borderId="27" xfId="214" applyNumberFormat="1" applyFont="1" applyFill="1" applyBorder="1" applyAlignment="1">
      <alignment horizontal="center" vertical="center"/>
    </xf>
    <xf numFmtId="0" fontId="13" fillId="0" borderId="66" xfId="214" applyNumberFormat="1" applyFont="1" applyFill="1" applyBorder="1" applyAlignment="1">
      <alignment horizontal="center" vertical="center"/>
    </xf>
    <xf numFmtId="0" fontId="13" fillId="0" borderId="0" xfId="214" applyNumberFormat="1" applyFont="1" applyFill="1" applyBorder="1" applyAlignment="1">
      <alignment horizontal="center" vertical="center"/>
    </xf>
    <xf numFmtId="0" fontId="13" fillId="0" borderId="67" xfId="214" applyNumberFormat="1" applyFont="1" applyFill="1" applyBorder="1" applyAlignment="1">
      <alignment horizontal="center" vertical="center"/>
    </xf>
    <xf numFmtId="0" fontId="13" fillId="0" borderId="64" xfId="214" applyNumberFormat="1" applyFont="1" applyFill="1" applyBorder="1" applyAlignment="1">
      <alignment horizontal="center" vertical="center"/>
    </xf>
    <xf numFmtId="0" fontId="13" fillId="0" borderId="25" xfId="214" applyNumberFormat="1" applyFont="1" applyFill="1" applyBorder="1" applyAlignment="1">
      <alignment horizontal="center" vertical="center"/>
    </xf>
    <xf numFmtId="0" fontId="13" fillId="0" borderId="42" xfId="214" applyNumberFormat="1" applyFont="1" applyFill="1" applyBorder="1" applyAlignment="1">
      <alignment horizontal="center" vertical="center"/>
    </xf>
    <xf numFmtId="0" fontId="13" fillId="0" borderId="2" xfId="214" applyFont="1" applyFill="1" applyBorder="1" applyAlignment="1">
      <alignment horizontal="center" vertical="center" wrapText="1"/>
    </xf>
    <xf numFmtId="0" fontId="49" fillId="0" borderId="2" xfId="214" applyFont="1" applyFill="1" applyBorder="1" applyAlignment="1">
      <alignment horizontal="center" vertical="center" wrapText="1"/>
    </xf>
    <xf numFmtId="0" fontId="13" fillId="32" borderId="1" xfId="200" applyFont="1" applyFill="1" applyBorder="1" applyAlignment="1">
      <alignment horizontal="center" vertical="center" wrapText="1"/>
    </xf>
    <xf numFmtId="0" fontId="13" fillId="32" borderId="65" xfId="200" applyFont="1" applyFill="1" applyBorder="1" applyAlignment="1">
      <alignment horizontal="center" vertical="center" wrapText="1"/>
    </xf>
    <xf numFmtId="0" fontId="13" fillId="32" borderId="33" xfId="200" applyFont="1" applyFill="1" applyBorder="1" applyAlignment="1">
      <alignment horizontal="center" vertical="center" wrapText="1"/>
    </xf>
    <xf numFmtId="0" fontId="7"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shrinkToFi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Border="1" applyAlignment="1">
      <alignment horizontal="center" vertical="center" wrapText="1"/>
    </xf>
    <xf numFmtId="0" fontId="4" fillId="32" borderId="2" xfId="0" applyFont="1" applyFill="1" applyBorder="1" applyAlignment="1">
      <alignment horizontal="center" vertical="center"/>
    </xf>
    <xf numFmtId="0" fontId="4" fillId="0" borderId="0" xfId="0" applyFont="1" applyBorder="1" applyAlignment="1">
      <alignment horizontal="center" vertical="center" wrapText="1"/>
    </xf>
    <xf numFmtId="0" fontId="4" fillId="0" borderId="34" xfId="199" applyFont="1" applyFill="1" applyBorder="1" applyAlignment="1">
      <alignment horizontal="center" vertical="center" wrapText="1"/>
    </xf>
    <xf numFmtId="0" fontId="4" fillId="0" borderId="26" xfId="199" applyFont="1" applyFill="1" applyBorder="1" applyAlignment="1">
      <alignment horizontal="center" vertical="center" wrapText="1"/>
    </xf>
    <xf numFmtId="0" fontId="4" fillId="0" borderId="4" xfId="199" applyFont="1" applyFill="1" applyBorder="1" applyAlignment="1">
      <alignment horizontal="center" vertical="center" wrapText="1"/>
    </xf>
    <xf numFmtId="0" fontId="4" fillId="29" borderId="1" xfId="216" applyFont="1" applyFill="1" applyBorder="1" applyAlignment="1">
      <alignment horizontal="center" vertical="center" wrapText="1"/>
    </xf>
    <xf numFmtId="0" fontId="4" fillId="29" borderId="33" xfId="216" applyFont="1" applyFill="1" applyBorder="1" applyAlignment="1">
      <alignment horizontal="center" vertical="center" wrapText="1"/>
    </xf>
    <xf numFmtId="0" fontId="4" fillId="33" borderId="26" xfId="0" applyFont="1" applyFill="1" applyBorder="1" applyAlignment="1">
      <alignment horizontal="center" vertical="center"/>
    </xf>
    <xf numFmtId="0" fontId="4" fillId="33" borderId="2" xfId="0" applyFont="1" applyFill="1" applyBorder="1" applyAlignment="1">
      <alignment horizontal="center" vertical="center"/>
    </xf>
    <xf numFmtId="0" fontId="138" fillId="0" borderId="2" xfId="0" applyFont="1" applyBorder="1" applyAlignment="1">
      <alignment vertical="center" wrapText="1"/>
    </xf>
    <xf numFmtId="0" fontId="4" fillId="0" borderId="1" xfId="0" applyFont="1" applyBorder="1" applyAlignment="1">
      <alignment vertical="center" shrinkToFit="1"/>
    </xf>
    <xf numFmtId="0" fontId="4" fillId="0" borderId="33" xfId="0" applyFont="1" applyBorder="1" applyAlignment="1">
      <alignment vertical="center" shrinkToFit="1"/>
    </xf>
    <xf numFmtId="0" fontId="141" fillId="0" borderId="0" xfId="0" applyFont="1" applyBorder="1" applyAlignment="1">
      <alignment horizontal="center" vertical="center" wrapText="1"/>
    </xf>
    <xf numFmtId="0" fontId="7" fillId="29" borderId="1" xfId="216" applyFont="1" applyFill="1" applyBorder="1" applyAlignment="1">
      <alignment horizontal="center" vertical="center" wrapText="1"/>
    </xf>
    <xf numFmtId="0" fontId="7" fillId="0" borderId="2" xfId="199" applyFont="1" applyBorder="1" applyAlignment="1">
      <alignment horizontal="center" vertical="center" wrapText="1"/>
    </xf>
    <xf numFmtId="0" fontId="4" fillId="0" borderId="2" xfId="199" applyFont="1" applyBorder="1" applyAlignment="1">
      <alignment horizontal="center" vertical="center" wrapText="1"/>
    </xf>
    <xf numFmtId="0" fontId="143" fillId="32" borderId="2" xfId="0" applyFont="1" applyFill="1" applyBorder="1" applyAlignment="1">
      <alignment horizontal="center" vertical="center"/>
    </xf>
    <xf numFmtId="0" fontId="0" fillId="32" borderId="2" xfId="0" applyFill="1" applyBorder="1" applyAlignment="1">
      <alignment horizontal="center" vertical="center"/>
    </xf>
    <xf numFmtId="0" fontId="143" fillId="0" borderId="2" xfId="0" applyFont="1" applyBorder="1" applyAlignment="1">
      <alignment vertical="center" wrapText="1"/>
    </xf>
    <xf numFmtId="0" fontId="143" fillId="0" borderId="2" xfId="0" applyFont="1" applyBorder="1" applyAlignment="1">
      <alignment vertical="center"/>
    </xf>
    <xf numFmtId="0" fontId="143" fillId="0" borderId="2" xfId="0" applyFont="1" applyBorder="1" applyAlignment="1">
      <alignment horizontal="center" vertical="center" wrapText="1"/>
    </xf>
    <xf numFmtId="0" fontId="143" fillId="0" borderId="2" xfId="0" applyNumberFormat="1" applyFont="1" applyBorder="1" applyAlignment="1">
      <alignment horizontal="center" vertical="center"/>
    </xf>
    <xf numFmtId="49" fontId="4" fillId="0" borderId="34" xfId="0" applyNumberFormat="1" applyFont="1" applyBorder="1" applyAlignment="1">
      <alignment horizontal="center" vertical="center"/>
    </xf>
    <xf numFmtId="49" fontId="4" fillId="0" borderId="26" xfId="0" applyNumberFormat="1" applyFont="1" applyBorder="1" applyAlignment="1">
      <alignment horizontal="center" vertical="center"/>
    </xf>
    <xf numFmtId="0" fontId="4" fillId="0" borderId="0" xfId="217" applyNumberFormat="1" applyFont="1" applyAlignment="1">
      <alignment horizontal="right" vertical="center"/>
    </xf>
    <xf numFmtId="49" fontId="7" fillId="0" borderId="29" xfId="217" applyNumberFormat="1" applyFont="1" applyBorder="1" applyAlignment="1">
      <alignment horizontal="left" vertical="center"/>
    </xf>
    <xf numFmtId="0" fontId="61" fillId="0" borderId="0" xfId="217" applyFont="1" applyAlignment="1">
      <alignment horizontal="center" vertical="center" wrapText="1"/>
    </xf>
    <xf numFmtId="0" fontId="60" fillId="0" borderId="0" xfId="0" applyFont="1" applyAlignment="1">
      <alignment horizontal="center" vertical="center"/>
    </xf>
  </cellXfs>
  <cellStyles count="272">
    <cellStyle name="_x0004_" xfId="1"/>
    <cellStyle name="_x000a_shell=progma 2" xfId="2"/>
    <cellStyle name="??" xfId="3"/>
    <cellStyle name="?? [0.00]_Analysis of Loans" xfId="4"/>
    <cellStyle name="?? [0]" xfId="5"/>
    <cellStyle name="???? [0.00]_Analysis of Loans" xfId="6"/>
    <cellStyle name="????_Analysis of Loans" xfId="7"/>
    <cellStyle name="??_????????" xfId="8"/>
    <cellStyle name="@_text" xfId="9"/>
    <cellStyle name="@_text_04评估申报表（资产基础法）-通用v1" xfId="10"/>
    <cellStyle name="@_text_附件1资产评估申报表(新准则)" xfId="11"/>
    <cellStyle name="@_text_高山煤业资产评估申报表" xfId="12"/>
    <cellStyle name="@_text_高山煤业资产评估申报表_山阴县安荣乡煤矿设备作价表(2011-4-20)(2)" xfId="13"/>
    <cellStyle name="@_text_高山煤业资产评估申报表_山阴县安荣乡煤矿资产评估申报--房产4-20" xfId="14"/>
    <cellStyle name="@_text_高山煤业资产评估申报表_山阴县安荣乡煤矿资产评估申报--房产4-24" xfId="15"/>
    <cellStyle name="_(中企华)审计评估联合申报明细表.V1" xfId="16"/>
    <cellStyle name="_CBRE明细表" xfId="17"/>
    <cellStyle name="_ET_STYLE_NoName_00_" xfId="18"/>
    <cellStyle name="_KPMG original version" xfId="19"/>
    <cellStyle name="_KPMG original version_(中企华)审计评估联合申报明细表.V1" xfId="20"/>
    <cellStyle name="_KPMG original version_附件1：审计评估联合申报明细表" xfId="21"/>
    <cellStyle name="_long term loan - others 300504" xfId="22"/>
    <cellStyle name="_long term loan - others 300504_(中企华)审计评估联合申报明细表.V1" xfId="23"/>
    <cellStyle name="_long term loan - others 300504_KPMG original version" xfId="24"/>
    <cellStyle name="_long term loan - others 300504_KPMG original version_(中企华)审计评估联合申报明细表.V1" xfId="25"/>
    <cellStyle name="_long term loan - others 300504_KPMG original version_附件1：审计评估联合申报明细表" xfId="26"/>
    <cellStyle name="_long term loan - others 300504_Shenhua PBC package 050530" xfId="27"/>
    <cellStyle name="_long term loan - others 300504_Shenhua PBC package 050530_(中企华)审计评估联合申报明细表.V1" xfId="28"/>
    <cellStyle name="_long term loan - others 300504_Shenhua PBC package 050530_附件1：审计评估联合申报明细表" xfId="29"/>
    <cellStyle name="_long term loan - others 300504_附件1：审计评估联合申报明细表" xfId="30"/>
    <cellStyle name="_long term loan - others 300504_审计调查表.V3" xfId="31"/>
    <cellStyle name="_Part III.200406.Loan and Liabilities details.(Site Name)" xfId="32"/>
    <cellStyle name="_Part III.200406.Loan and Liabilities details.(Site Name)_(中企华)审计评估联合申报明细表.V1" xfId="33"/>
    <cellStyle name="_Part III.200406.Loan and Liabilities details.(Site Name)_KPMG original version" xfId="34"/>
    <cellStyle name="_Part III.200406.Loan and Liabilities details.(Site Name)_KPMG original version_(中企华)审计评估联合申报明细表.V1" xfId="35"/>
    <cellStyle name="_Part III.200406.Loan and Liabilities details.(Site Name)_KPMG original version_附件1：审计评估联合申报明细表" xfId="36"/>
    <cellStyle name="_Part III.200406.Loan and Liabilities details.(Site Name)_Shenhua PBC package 050530" xfId="37"/>
    <cellStyle name="_Part III.200406.Loan and Liabilities details.(Site Name)_Shenhua PBC package 050530_(中企华)审计评估联合申报明细表.V1" xfId="38"/>
    <cellStyle name="_Part III.200406.Loan and Liabilities details.(Site Name)_Shenhua PBC package 050530_附件1：审计评估联合申报明细表" xfId="39"/>
    <cellStyle name="_Part III.200406.Loan and Liabilities details.(Site Name)_附件1：审计评估联合申报明细表" xfId="40"/>
    <cellStyle name="_Part III.200406.Loan and Liabilities details.(Site Name)_审计调查表.V3" xfId="41"/>
    <cellStyle name="_Shenhua PBC package 050530" xfId="42"/>
    <cellStyle name="_Shenhua PBC package 050530_(中企华)审计评估联合申报明细表.V1" xfId="43"/>
    <cellStyle name="_Shenhua PBC package 050530_附件1：审计评估联合申报明细表" xfId="44"/>
    <cellStyle name="_案例1-掘进机" xfId="45"/>
    <cellStyle name="_房屋建筑评估申报表" xfId="46"/>
    <cellStyle name="_附件1：审计评估联合申报明细表" xfId="47"/>
    <cellStyle name="_金坡照片" xfId="48"/>
    <cellStyle name="_暖水泉房屋类照片" xfId="49"/>
    <cellStyle name="_评估明细表样表(中发）" xfId="50"/>
    <cellStyle name="_山阴县安荣乡煤矿井巷工程计算表（11-04-16）" xfId="51"/>
    <cellStyle name="_山阴县安荣乡煤矿资产评估申报表" xfId="52"/>
    <cellStyle name="_审计调查表.V3" xfId="53"/>
    <cellStyle name="_文函专递0211-施工企业调查表（附件）" xfId="54"/>
    <cellStyle name="_中铁房屋底稿" xfId="55"/>
    <cellStyle name="{Comma [0]}" xfId="56"/>
    <cellStyle name="{Comma}" xfId="57"/>
    <cellStyle name="{Date}" xfId="58"/>
    <cellStyle name="{Month}" xfId="59"/>
    <cellStyle name="{Percent}" xfId="60"/>
    <cellStyle name="{Thousand [0]}" xfId="61"/>
    <cellStyle name="{Thousand}" xfId="62"/>
    <cellStyle name="{Z'0000(1 dec)}" xfId="63"/>
    <cellStyle name="{Z'0000(4 dec)}" xfId="64"/>
    <cellStyle name="0,0_x000a__x000a_NA_x000a__x000a_" xfId="65"/>
    <cellStyle name="0,0_x000d__x000a_NA_x000d__x000a_" xfId="66"/>
    <cellStyle name="20% - 强调文字颜色 1" xfId="67" builtinId="30" customBuiltin="1"/>
    <cellStyle name="20% - 强调文字颜色 2" xfId="68" builtinId="34" customBuiltin="1"/>
    <cellStyle name="20% - 强调文字颜色 3" xfId="69" builtinId="38" customBuiltin="1"/>
    <cellStyle name="20% - 强调文字颜色 4" xfId="70" builtinId="42" customBuiltin="1"/>
    <cellStyle name="20% - 强调文字颜色 5" xfId="71" builtinId="46" customBuiltin="1"/>
    <cellStyle name="20% - 强调文字颜色 6" xfId="72" builtinId="50" customBuiltin="1"/>
    <cellStyle name="40% - 强调文字颜色 1" xfId="73" builtinId="31" customBuiltin="1"/>
    <cellStyle name="40% - 强调文字颜色 2" xfId="74" builtinId="35" customBuiltin="1"/>
    <cellStyle name="40% - 强调文字颜色 3" xfId="75" builtinId="39" customBuiltin="1"/>
    <cellStyle name="40% - 强调文字颜色 4" xfId="76" builtinId="43" customBuiltin="1"/>
    <cellStyle name="40% - 强调文字颜色 5" xfId="77" builtinId="47" customBuiltin="1"/>
    <cellStyle name="40% - 强调文字颜色 6" xfId="78" builtinId="51" customBuiltin="1"/>
    <cellStyle name="60% - 强调文字颜色 1" xfId="79" builtinId="32" customBuiltin="1"/>
    <cellStyle name="60% - 强调文字颜色 2" xfId="80" builtinId="36" customBuiltin="1"/>
    <cellStyle name="60% - 强调文字颜色 3" xfId="81" builtinId="40" customBuiltin="1"/>
    <cellStyle name="60% - 强调文字颜色 4" xfId="82" builtinId="44" customBuiltin="1"/>
    <cellStyle name="60% - 强调文字颜色 5" xfId="83" builtinId="48" customBuiltin="1"/>
    <cellStyle name="60% - 强调文字颜色 6" xfId="84" builtinId="52" customBuiltin="1"/>
    <cellStyle name="args.style" xfId="85"/>
    <cellStyle name="Calc Currency (0)" xfId="86"/>
    <cellStyle name="category" xfId="87"/>
    <cellStyle name="Column Headings" xfId="88"/>
    <cellStyle name="Column$Headings" xfId="89"/>
    <cellStyle name="Column_Title" xfId="90"/>
    <cellStyle name="Comma  - Style1" xfId="91"/>
    <cellStyle name="Comma  - Style2" xfId="92"/>
    <cellStyle name="Comma  - Style3" xfId="93"/>
    <cellStyle name="Comma  - Style4" xfId="94"/>
    <cellStyle name="Comma  - Style5" xfId="95"/>
    <cellStyle name="Comma  - Style6" xfId="96"/>
    <cellStyle name="Comma  - Style7" xfId="97"/>
    <cellStyle name="Comma  - Style8" xfId="98"/>
    <cellStyle name="Comma [0]_!!!GO" xfId="99"/>
    <cellStyle name="Comma[0]" xfId="100"/>
    <cellStyle name="Comma[2]" xfId="101"/>
    <cellStyle name="Comma_!!!GO" xfId="102"/>
    <cellStyle name="comma-d" xfId="103"/>
    <cellStyle name="Copied" xfId="104"/>
    <cellStyle name="COST1" xfId="105"/>
    <cellStyle name="Currency [0]_ rislugp" xfId="106"/>
    <cellStyle name="Currency$[0]" xfId="107"/>
    <cellStyle name="Currency$[2]" xfId="108"/>
    <cellStyle name="Currency\[0]" xfId="109"/>
    <cellStyle name="Currency_ rislugp" xfId="110"/>
    <cellStyle name="Date" xfId="111"/>
    <cellStyle name="Entered" xfId="112"/>
    <cellStyle name="entry box" xfId="113"/>
    <cellStyle name="Euro" xfId="114"/>
    <cellStyle name="EY House" xfId="115"/>
    <cellStyle name="e鯪9Y_x000b_" xfId="116"/>
    <cellStyle name="Followed Hyperlink" xfId="117"/>
    <cellStyle name="Format Number Column" xfId="118"/>
    <cellStyle name="gcd" xfId="119"/>
    <cellStyle name="Grey" xfId="120"/>
    <cellStyle name="HEADER" xfId="121"/>
    <cellStyle name="Header1" xfId="122"/>
    <cellStyle name="Header2" xfId="123"/>
    <cellStyle name="Heading" xfId="124"/>
    <cellStyle name="Heading1" xfId="125"/>
    <cellStyle name="Hyperlink" xfId="126"/>
    <cellStyle name="Input [yellow]" xfId="127"/>
    <cellStyle name="Input Cells" xfId="128"/>
    <cellStyle name="InputArea" xfId="129"/>
    <cellStyle name="KPMG Heading 1" xfId="130"/>
    <cellStyle name="KPMG Heading 2" xfId="131"/>
    <cellStyle name="KPMG Heading 3" xfId="132"/>
    <cellStyle name="KPMG Heading 4" xfId="133"/>
    <cellStyle name="KPMG Normal" xfId="134"/>
    <cellStyle name="KPMG Normal Text" xfId="135"/>
    <cellStyle name="Lines Fill" xfId="136"/>
    <cellStyle name="Linked Cells" xfId="137"/>
    <cellStyle name="Milliers [0]_!!!GO" xfId="138"/>
    <cellStyle name="Milliers_!!!GO" xfId="139"/>
    <cellStyle name="Model" xfId="140"/>
    <cellStyle name="Monétaire [0]_!!!GO" xfId="141"/>
    <cellStyle name="Monétaire_!!!GO" xfId="142"/>
    <cellStyle name="New Times Roman" xfId="143"/>
    <cellStyle name="no dec" xfId="144"/>
    <cellStyle name="Normal" xfId="271"/>
    <cellStyle name="Normal - Style1" xfId="145"/>
    <cellStyle name="Normal_ rislugp" xfId="146"/>
    <cellStyle name="Normal_0105第二套审计报表定稿" xfId="147"/>
    <cellStyle name="Normal_Sheet1_Valuer report" xfId="148"/>
    <cellStyle name="Normal_廣朹廣電 shenjibaobiao 31.12.2000 (revised on 7.3.02)" xfId="149"/>
    <cellStyle name="Normalny_Arkusz1" xfId="150"/>
    <cellStyle name="Œ…‹æØ‚è [0.00]_Region Orders (2)" xfId="151"/>
    <cellStyle name="Œ…‹æØ‚è_Region Orders (2)" xfId="152"/>
    <cellStyle name="per.style" xfId="153"/>
    <cellStyle name="Percent [0%]" xfId="154"/>
    <cellStyle name="Percent [0.00%]" xfId="155"/>
    <cellStyle name="Percent [2]" xfId="156"/>
    <cellStyle name="Percent[0]" xfId="157"/>
    <cellStyle name="Percent[2]" xfId="158"/>
    <cellStyle name="Percent_PICC package Sept2002 (V120021005)1" xfId="159"/>
    <cellStyle name="Prefilled" xfId="160"/>
    <cellStyle name="pricing" xfId="161"/>
    <cellStyle name="PSChar" xfId="162"/>
    <cellStyle name="RevList" xfId="163"/>
    <cellStyle name="Sheet Head" xfId="164"/>
    <cellStyle name="style" xfId="165"/>
    <cellStyle name="style1" xfId="166"/>
    <cellStyle name="style2" xfId="167"/>
    <cellStyle name="subhead" xfId="168"/>
    <cellStyle name="Subtotal" xfId="169"/>
    <cellStyle name="Thousands" xfId="170"/>
    <cellStyle name="Unprotect" xfId="171"/>
    <cellStyle name="百分比" xfId="172" builtinId="5"/>
    <cellStyle name="百分比 2" xfId="173"/>
    <cellStyle name="百分比 2 2" xfId="174"/>
    <cellStyle name="标题" xfId="175" builtinId="15" customBuiltin="1"/>
    <cellStyle name="标题 1" xfId="176" builtinId="16" customBuiltin="1"/>
    <cellStyle name="标题 2" xfId="177" builtinId="17" customBuiltin="1"/>
    <cellStyle name="标题 3" xfId="178" builtinId="18" customBuiltin="1"/>
    <cellStyle name="标题 4" xfId="179" builtinId="19" customBuiltin="1"/>
    <cellStyle name="標準_Collateral" xfId="180"/>
    <cellStyle name="差" xfId="181" builtinId="27" customBuiltin="1"/>
    <cellStyle name="差_20110112-井巷工程(经李部审）" xfId="182"/>
    <cellStyle name="差_案例1-掘进机" xfId="183"/>
    <cellStyle name="差_娄娄沟房屋及构筑物照片" xfId="184"/>
    <cellStyle name="差_山西煤炭进出口集团左权鑫顺煤业有限公司资产评估表" xfId="185"/>
    <cellStyle name="差_山阴县安荣乡煤矿井巷工程计算表（11-04-16）" xfId="186"/>
    <cellStyle name="差_山阴县安荣乡煤矿资产评估申报表" xfId="187"/>
    <cellStyle name="常规" xfId="0" builtinId="0"/>
    <cellStyle name="常规 16" xfId="188"/>
    <cellStyle name="常规 2" xfId="189"/>
    <cellStyle name="常规 2 2" xfId="190"/>
    <cellStyle name="常规 2_产成品测算表" xfId="191"/>
    <cellStyle name="常规 3" xfId="192"/>
    <cellStyle name="常规 4" xfId="193"/>
    <cellStyle name="常规 5" xfId="194"/>
    <cellStyle name="常规_022无锡江阴评估表" xfId="195"/>
    <cellStyle name="常规_04四局集团经营资产明细表3.21" xfId="196"/>
    <cellStyle name="常规_Book1" xfId="197"/>
    <cellStyle name="常规_Cape M&amp;E Report" xfId="198"/>
    <cellStyle name="常规_Sheet1" xfId="199"/>
    <cellStyle name="常规_Sheet1 2" xfId="200"/>
    <cellStyle name="常规_存货" xfId="201"/>
    <cellStyle name="常规_大同塔山井巷工程明细表已完" xfId="202"/>
    <cellStyle name="常规_电厂盈利预测表" xfId="203"/>
    <cellStyle name="常规_附表一：电力收益法申报表" xfId="204"/>
    <cellStyle name="常规_附件9-1：生产企业收益法申报表1031" xfId="205"/>
    <cellStyle name="常规_黑煤明细表" xfId="206"/>
    <cellStyle name="常规_基本情况" xfId="207"/>
    <cellStyle name="常规_评估空白套表1" xfId="208"/>
    <cellStyle name="常规_评估明细表" xfId="209"/>
    <cellStyle name="常规_评估明细表太原12-11" xfId="210"/>
    <cellStyle name="常规_山西煤炭进出口集团左权鑫顺煤业有限公司资产评估表" xfId="211"/>
    <cellStyle name="常规_山阴县安荣乡煤矿井巷工程计算表（11-04-16）" xfId="212"/>
    <cellStyle name="常规_十矿井巷工程评估明细表" xfId="213"/>
    <cellStyle name="常规_土建明细表—— 清河一矿（王红红）" xfId="214"/>
    <cellStyle name="常规_往来核对附表" xfId="215"/>
    <cellStyle name="常规_中航油评估明细表" xfId="216"/>
    <cellStyle name="常规_中评协(2008)218号" xfId="217"/>
    <cellStyle name="超级链接_03飞天网景公司" xfId="218"/>
    <cellStyle name="超链接" xfId="219" builtinId="8"/>
    <cellStyle name="超链接 2" xfId="220"/>
    <cellStyle name="分级显示行_1_4附件二凯旋评估表" xfId="221"/>
    <cellStyle name="公司标准表" xfId="222"/>
    <cellStyle name="好" xfId="223" builtinId="26" customBuiltin="1"/>
    <cellStyle name="好_20110112-井巷工程(经李部审）" xfId="224"/>
    <cellStyle name="好_案例1-掘进机" xfId="225"/>
    <cellStyle name="好_娄娄沟房屋及构筑物照片" xfId="226"/>
    <cellStyle name="好_山西煤炭进出口集团左权鑫顺煤业有限公司资产评估表" xfId="227"/>
    <cellStyle name="好_山阴县安荣乡煤矿井巷工程计算表（11-04-16）" xfId="228"/>
    <cellStyle name="好_山阴县安荣乡煤矿资产评估申报表" xfId="229"/>
    <cellStyle name="汇总" xfId="230" builtinId="25" customBuiltin="1"/>
    <cellStyle name="计算" xfId="231" builtinId="22" customBuiltin="1"/>
    <cellStyle name="检查单元格" xfId="232" builtinId="23" customBuiltin="1"/>
    <cellStyle name="解释性文本" xfId="233" builtinId="53" customBuiltin="1"/>
    <cellStyle name="警告文本" xfId="234" builtinId="11" customBuiltin="1"/>
    <cellStyle name="链接单元格" xfId="235" builtinId="24" customBuiltin="1"/>
    <cellStyle name="霓付 [0]_97MBO" xfId="236"/>
    <cellStyle name="霓付_97MBO" xfId="237"/>
    <cellStyle name="烹拳 [0]_97MBO" xfId="238"/>
    <cellStyle name="烹拳_97MBO" xfId="239"/>
    <cellStyle name="普通_ 白土" xfId="240"/>
    <cellStyle name="普通_附19_minxi98114" xfId="241"/>
    <cellStyle name="千分位[0]_ 白土" xfId="242"/>
    <cellStyle name="千分位_ 白土" xfId="243"/>
    <cellStyle name="千位[0]_ 应交税金审定表" xfId="244"/>
    <cellStyle name="千位_ 应交税金审定表" xfId="245"/>
    <cellStyle name="千位分隔" xfId="246" builtinId="3"/>
    <cellStyle name="千位分隔 2" xfId="247"/>
    <cellStyle name="千位分隔 3 2" xfId="248"/>
    <cellStyle name="千位分隔 9" xfId="249"/>
    <cellStyle name="千位分隔[0] 2" xfId="250"/>
    <cellStyle name="钎霖_laroux" xfId="251"/>
    <cellStyle name="强调文字颜色 1" xfId="252" builtinId="29" customBuiltin="1"/>
    <cellStyle name="强调文字颜色 2" xfId="253" builtinId="33" customBuiltin="1"/>
    <cellStyle name="强调文字颜色 3" xfId="254" builtinId="37" customBuiltin="1"/>
    <cellStyle name="强调文字颜色 4" xfId="255" builtinId="41" customBuiltin="1"/>
    <cellStyle name="强调文字颜色 5" xfId="256" builtinId="45" customBuiltin="1"/>
    <cellStyle name="强调文字颜色 6" xfId="257" builtinId="49" customBuiltin="1"/>
    <cellStyle name="适中" xfId="258" builtinId="28" customBuiltin="1"/>
    <cellStyle name="输出" xfId="259" builtinId="21" customBuiltin="1"/>
    <cellStyle name="输入" xfId="260" builtinId="20" customBuiltin="1"/>
    <cellStyle name="样式 1" xfId="261"/>
    <cellStyle name="一般_99-12-31" xfId="262"/>
    <cellStyle name="注释" xfId="263" builtinId="10" customBuiltin="1"/>
    <cellStyle name="资产" xfId="264"/>
    <cellStyle name="콤마 [0]_BOILER-CO1" xfId="265"/>
    <cellStyle name="콤마_BOILER-CO1" xfId="266"/>
    <cellStyle name="통화 [0]_BOILER-CO1" xfId="267"/>
    <cellStyle name="통화_BOILER-CO1" xfId="268"/>
    <cellStyle name="표준_0N-HANDLING " xfId="269"/>
    <cellStyle name="표준_kc-elec system check list" xfId="27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933450</xdr:colOff>
      <xdr:row>8</xdr:row>
      <xdr:rowOff>133350</xdr:rowOff>
    </xdr:from>
    <xdr:to>
      <xdr:col>4</xdr:col>
      <xdr:colOff>28575</xdr:colOff>
      <xdr:row>8</xdr:row>
      <xdr:rowOff>133350</xdr:rowOff>
    </xdr:to>
    <xdr:sp macro="" textlink="">
      <xdr:nvSpPr>
        <xdr:cNvPr id="126132" name="Line 1"/>
        <xdr:cNvSpPr>
          <a:spLocks noChangeShapeType="1"/>
        </xdr:cNvSpPr>
      </xdr:nvSpPr>
      <xdr:spPr bwMode="auto">
        <a:xfrm>
          <a:off x="3276600" y="1771650"/>
          <a:ext cx="476250" cy="0"/>
        </a:xfrm>
        <a:prstGeom prst="line">
          <a:avLst/>
        </a:prstGeom>
        <a:noFill/>
        <a:ln w="9525">
          <a:solidFill>
            <a:srgbClr val="000000"/>
          </a:solidFill>
          <a:round/>
          <a:headEnd/>
          <a:tailEnd/>
        </a:ln>
      </xdr:spPr>
    </xdr:sp>
    <xdr:clientData/>
  </xdr:twoCellAnchor>
  <xdr:twoCellAnchor>
    <xdr:from>
      <xdr:col>3</xdr:col>
      <xdr:colOff>1104900</xdr:colOff>
      <xdr:row>8</xdr:row>
      <xdr:rowOff>133350</xdr:rowOff>
    </xdr:from>
    <xdr:to>
      <xdr:col>3</xdr:col>
      <xdr:colOff>1104900</xdr:colOff>
      <xdr:row>10</xdr:row>
      <xdr:rowOff>133350</xdr:rowOff>
    </xdr:to>
    <xdr:sp macro="" textlink="">
      <xdr:nvSpPr>
        <xdr:cNvPr id="126133" name="Line 2"/>
        <xdr:cNvSpPr>
          <a:spLocks noChangeShapeType="1"/>
        </xdr:cNvSpPr>
      </xdr:nvSpPr>
      <xdr:spPr bwMode="auto">
        <a:xfrm flipH="1">
          <a:off x="3448050" y="1771650"/>
          <a:ext cx="0" cy="400050"/>
        </a:xfrm>
        <a:prstGeom prst="line">
          <a:avLst/>
        </a:prstGeom>
        <a:noFill/>
        <a:ln w="9525">
          <a:solidFill>
            <a:srgbClr val="000000"/>
          </a:solidFill>
          <a:round/>
          <a:headEnd/>
          <a:tailEnd/>
        </a:ln>
      </xdr:spPr>
    </xdr:sp>
    <xdr:clientData/>
  </xdr:twoCellAnchor>
  <xdr:twoCellAnchor>
    <xdr:from>
      <xdr:col>3</xdr:col>
      <xdr:colOff>1476375</xdr:colOff>
      <xdr:row>9</xdr:row>
      <xdr:rowOff>104775</xdr:rowOff>
    </xdr:from>
    <xdr:to>
      <xdr:col>3</xdr:col>
      <xdr:colOff>1381125</xdr:colOff>
      <xdr:row>9</xdr:row>
      <xdr:rowOff>104775</xdr:rowOff>
    </xdr:to>
    <xdr:sp macro="" textlink="">
      <xdr:nvSpPr>
        <xdr:cNvPr id="126134" name="Line 3"/>
        <xdr:cNvSpPr>
          <a:spLocks noChangeShapeType="1"/>
        </xdr:cNvSpPr>
      </xdr:nvSpPr>
      <xdr:spPr bwMode="auto">
        <a:xfrm flipV="1">
          <a:off x="3724275" y="1943100"/>
          <a:ext cx="0" cy="0"/>
        </a:xfrm>
        <a:prstGeom prst="line">
          <a:avLst/>
        </a:prstGeom>
        <a:noFill/>
        <a:ln w="9525">
          <a:solidFill>
            <a:srgbClr val="000000"/>
          </a:solidFill>
          <a:round/>
          <a:headEnd/>
          <a:tailEnd/>
        </a:ln>
      </xdr:spPr>
    </xdr:sp>
    <xdr:clientData/>
  </xdr:twoCellAnchor>
  <xdr:twoCellAnchor>
    <xdr:from>
      <xdr:col>3</xdr:col>
      <xdr:colOff>571500</xdr:colOff>
      <xdr:row>5</xdr:row>
      <xdr:rowOff>114300</xdr:rowOff>
    </xdr:from>
    <xdr:to>
      <xdr:col>4</xdr:col>
      <xdr:colOff>19050</xdr:colOff>
      <xdr:row>5</xdr:row>
      <xdr:rowOff>114300</xdr:rowOff>
    </xdr:to>
    <xdr:sp macro="" textlink="">
      <xdr:nvSpPr>
        <xdr:cNvPr id="126135" name="Line 4"/>
        <xdr:cNvSpPr>
          <a:spLocks noChangeShapeType="1"/>
        </xdr:cNvSpPr>
      </xdr:nvSpPr>
      <xdr:spPr bwMode="auto">
        <a:xfrm>
          <a:off x="2914650" y="1152525"/>
          <a:ext cx="828675" cy="0"/>
        </a:xfrm>
        <a:prstGeom prst="line">
          <a:avLst/>
        </a:prstGeom>
        <a:noFill/>
        <a:ln w="9525">
          <a:solidFill>
            <a:srgbClr val="000000"/>
          </a:solidFill>
          <a:round/>
          <a:headEnd/>
          <a:tailEnd/>
        </a:ln>
      </xdr:spPr>
    </xdr:sp>
    <xdr:clientData/>
  </xdr:twoCellAnchor>
  <xdr:twoCellAnchor>
    <xdr:from>
      <xdr:col>3</xdr:col>
      <xdr:colOff>828675</xdr:colOff>
      <xdr:row>5</xdr:row>
      <xdr:rowOff>114300</xdr:rowOff>
    </xdr:from>
    <xdr:to>
      <xdr:col>3</xdr:col>
      <xdr:colOff>828675</xdr:colOff>
      <xdr:row>7</xdr:row>
      <xdr:rowOff>95250</xdr:rowOff>
    </xdr:to>
    <xdr:sp macro="" textlink="">
      <xdr:nvSpPr>
        <xdr:cNvPr id="126136" name="Line 6"/>
        <xdr:cNvSpPr>
          <a:spLocks noChangeShapeType="1"/>
        </xdr:cNvSpPr>
      </xdr:nvSpPr>
      <xdr:spPr bwMode="auto">
        <a:xfrm>
          <a:off x="3171825" y="1152525"/>
          <a:ext cx="0" cy="381000"/>
        </a:xfrm>
        <a:prstGeom prst="line">
          <a:avLst/>
        </a:prstGeom>
        <a:noFill/>
        <a:ln w="9525">
          <a:solidFill>
            <a:srgbClr val="000000"/>
          </a:solidFill>
          <a:round/>
          <a:headEnd/>
          <a:tailEnd/>
        </a:ln>
      </xdr:spPr>
    </xdr:sp>
    <xdr:clientData/>
  </xdr:twoCellAnchor>
  <xdr:twoCellAnchor>
    <xdr:from>
      <xdr:col>3</xdr:col>
      <xdr:colOff>819150</xdr:colOff>
      <xdr:row>6</xdr:row>
      <xdr:rowOff>85725</xdr:rowOff>
    </xdr:from>
    <xdr:to>
      <xdr:col>4</xdr:col>
      <xdr:colOff>9525</xdr:colOff>
      <xdr:row>6</xdr:row>
      <xdr:rowOff>85725</xdr:rowOff>
    </xdr:to>
    <xdr:sp macro="" textlink="">
      <xdr:nvSpPr>
        <xdr:cNvPr id="126137" name="Line 7"/>
        <xdr:cNvSpPr>
          <a:spLocks noChangeShapeType="1"/>
        </xdr:cNvSpPr>
      </xdr:nvSpPr>
      <xdr:spPr bwMode="auto">
        <a:xfrm>
          <a:off x="3162300" y="1323975"/>
          <a:ext cx="571500" cy="0"/>
        </a:xfrm>
        <a:prstGeom prst="line">
          <a:avLst/>
        </a:prstGeom>
        <a:noFill/>
        <a:ln w="9525">
          <a:solidFill>
            <a:srgbClr val="000000"/>
          </a:solidFill>
          <a:round/>
          <a:headEnd/>
          <a:tailEnd/>
        </a:ln>
      </xdr:spPr>
    </xdr:sp>
    <xdr:clientData/>
  </xdr:twoCellAnchor>
  <xdr:twoCellAnchor>
    <xdr:from>
      <xdr:col>3</xdr:col>
      <xdr:colOff>819150</xdr:colOff>
      <xdr:row>7</xdr:row>
      <xdr:rowOff>85725</xdr:rowOff>
    </xdr:from>
    <xdr:to>
      <xdr:col>3</xdr:col>
      <xdr:colOff>1381125</xdr:colOff>
      <xdr:row>7</xdr:row>
      <xdr:rowOff>85725</xdr:rowOff>
    </xdr:to>
    <xdr:sp macro="" textlink="">
      <xdr:nvSpPr>
        <xdr:cNvPr id="126138" name="Line 8"/>
        <xdr:cNvSpPr>
          <a:spLocks noChangeShapeType="1"/>
        </xdr:cNvSpPr>
      </xdr:nvSpPr>
      <xdr:spPr bwMode="auto">
        <a:xfrm>
          <a:off x="3162300" y="1524000"/>
          <a:ext cx="561975" cy="0"/>
        </a:xfrm>
        <a:prstGeom prst="line">
          <a:avLst/>
        </a:prstGeom>
        <a:noFill/>
        <a:ln w="9525">
          <a:solidFill>
            <a:srgbClr val="000000"/>
          </a:solidFill>
          <a:round/>
          <a:headEnd/>
          <a:tailEnd/>
        </a:ln>
      </xdr:spPr>
    </xdr:sp>
    <xdr:clientData/>
  </xdr:twoCellAnchor>
  <xdr:twoCellAnchor>
    <xdr:from>
      <xdr:col>3</xdr:col>
      <xdr:colOff>1257300</xdr:colOff>
      <xdr:row>17</xdr:row>
      <xdr:rowOff>123825</xdr:rowOff>
    </xdr:from>
    <xdr:to>
      <xdr:col>3</xdr:col>
      <xdr:colOff>1266825</xdr:colOff>
      <xdr:row>24</xdr:row>
      <xdr:rowOff>142875</xdr:rowOff>
    </xdr:to>
    <xdr:sp macro="" textlink="">
      <xdr:nvSpPr>
        <xdr:cNvPr id="126139" name="Line 10"/>
        <xdr:cNvSpPr>
          <a:spLocks noChangeShapeType="1"/>
        </xdr:cNvSpPr>
      </xdr:nvSpPr>
      <xdr:spPr bwMode="auto">
        <a:xfrm>
          <a:off x="3600450" y="3562350"/>
          <a:ext cx="9525" cy="1419225"/>
        </a:xfrm>
        <a:prstGeom prst="line">
          <a:avLst/>
        </a:prstGeom>
        <a:noFill/>
        <a:ln w="9525">
          <a:solidFill>
            <a:srgbClr val="000000"/>
          </a:solidFill>
          <a:round/>
          <a:headEnd/>
          <a:tailEnd/>
        </a:ln>
      </xdr:spPr>
    </xdr:sp>
    <xdr:clientData/>
  </xdr:twoCellAnchor>
  <xdr:twoCellAnchor>
    <xdr:from>
      <xdr:col>3</xdr:col>
      <xdr:colOff>1257300</xdr:colOff>
      <xdr:row>23</xdr:row>
      <xdr:rowOff>114300</xdr:rowOff>
    </xdr:from>
    <xdr:to>
      <xdr:col>4</xdr:col>
      <xdr:colOff>0</xdr:colOff>
      <xdr:row>23</xdr:row>
      <xdr:rowOff>114300</xdr:rowOff>
    </xdr:to>
    <xdr:sp macro="" textlink="">
      <xdr:nvSpPr>
        <xdr:cNvPr id="126140" name="Line 15"/>
        <xdr:cNvSpPr>
          <a:spLocks noChangeShapeType="1"/>
        </xdr:cNvSpPr>
      </xdr:nvSpPr>
      <xdr:spPr bwMode="auto">
        <a:xfrm>
          <a:off x="3600450" y="4752975"/>
          <a:ext cx="123825" cy="0"/>
        </a:xfrm>
        <a:prstGeom prst="line">
          <a:avLst/>
        </a:prstGeom>
        <a:noFill/>
        <a:ln w="9525">
          <a:solidFill>
            <a:srgbClr val="000000"/>
          </a:solidFill>
          <a:round/>
          <a:headEnd/>
          <a:tailEnd/>
        </a:ln>
      </xdr:spPr>
    </xdr:sp>
    <xdr:clientData/>
  </xdr:twoCellAnchor>
  <xdr:twoCellAnchor>
    <xdr:from>
      <xdr:col>3</xdr:col>
      <xdr:colOff>1266825</xdr:colOff>
      <xdr:row>18</xdr:row>
      <xdr:rowOff>95250</xdr:rowOff>
    </xdr:from>
    <xdr:to>
      <xdr:col>4</xdr:col>
      <xdr:colOff>19050</xdr:colOff>
      <xdr:row>18</xdr:row>
      <xdr:rowOff>95250</xdr:rowOff>
    </xdr:to>
    <xdr:sp macro="" textlink="">
      <xdr:nvSpPr>
        <xdr:cNvPr id="126141" name="Line 16"/>
        <xdr:cNvSpPr>
          <a:spLocks noChangeShapeType="1"/>
        </xdr:cNvSpPr>
      </xdr:nvSpPr>
      <xdr:spPr bwMode="auto">
        <a:xfrm>
          <a:off x="3609975" y="3733800"/>
          <a:ext cx="133350" cy="0"/>
        </a:xfrm>
        <a:prstGeom prst="line">
          <a:avLst/>
        </a:prstGeom>
        <a:noFill/>
        <a:ln w="9525">
          <a:solidFill>
            <a:srgbClr val="000000"/>
          </a:solidFill>
          <a:round/>
          <a:headEnd/>
          <a:tailEnd/>
        </a:ln>
      </xdr:spPr>
    </xdr:sp>
    <xdr:clientData/>
  </xdr:twoCellAnchor>
  <xdr:twoCellAnchor>
    <xdr:from>
      <xdr:col>3</xdr:col>
      <xdr:colOff>323850</xdr:colOff>
      <xdr:row>17</xdr:row>
      <xdr:rowOff>114300</xdr:rowOff>
    </xdr:from>
    <xdr:to>
      <xdr:col>3</xdr:col>
      <xdr:colOff>1371600</xdr:colOff>
      <xdr:row>17</xdr:row>
      <xdr:rowOff>114300</xdr:rowOff>
    </xdr:to>
    <xdr:sp macro="" textlink="">
      <xdr:nvSpPr>
        <xdr:cNvPr id="126142" name="Line 17"/>
        <xdr:cNvSpPr>
          <a:spLocks noChangeShapeType="1"/>
        </xdr:cNvSpPr>
      </xdr:nvSpPr>
      <xdr:spPr bwMode="auto">
        <a:xfrm>
          <a:off x="2667000" y="3552825"/>
          <a:ext cx="1047750" cy="0"/>
        </a:xfrm>
        <a:prstGeom prst="line">
          <a:avLst/>
        </a:prstGeom>
        <a:noFill/>
        <a:ln w="9525">
          <a:solidFill>
            <a:srgbClr val="000000"/>
          </a:solidFill>
          <a:round/>
          <a:headEnd/>
          <a:tailEnd/>
        </a:ln>
      </xdr:spPr>
    </xdr:sp>
    <xdr:clientData/>
  </xdr:twoCellAnchor>
  <xdr:twoCellAnchor>
    <xdr:from>
      <xdr:col>3</xdr:col>
      <xdr:colOff>1257300</xdr:colOff>
      <xdr:row>23</xdr:row>
      <xdr:rowOff>114300</xdr:rowOff>
    </xdr:from>
    <xdr:to>
      <xdr:col>4</xdr:col>
      <xdr:colOff>9525</xdr:colOff>
      <xdr:row>23</xdr:row>
      <xdr:rowOff>114300</xdr:rowOff>
    </xdr:to>
    <xdr:sp macro="" textlink="">
      <xdr:nvSpPr>
        <xdr:cNvPr id="126143" name="Line 18"/>
        <xdr:cNvSpPr>
          <a:spLocks noChangeShapeType="1"/>
        </xdr:cNvSpPr>
      </xdr:nvSpPr>
      <xdr:spPr bwMode="auto">
        <a:xfrm>
          <a:off x="3600450" y="4752975"/>
          <a:ext cx="133350" cy="0"/>
        </a:xfrm>
        <a:prstGeom prst="line">
          <a:avLst/>
        </a:prstGeom>
        <a:noFill/>
        <a:ln w="9525">
          <a:solidFill>
            <a:srgbClr val="000000"/>
          </a:solidFill>
          <a:round/>
          <a:headEnd/>
          <a:tailEnd/>
        </a:ln>
      </xdr:spPr>
    </xdr:sp>
    <xdr:clientData/>
  </xdr:twoCellAnchor>
  <xdr:twoCellAnchor>
    <xdr:from>
      <xdr:col>3</xdr:col>
      <xdr:colOff>1257300</xdr:colOff>
      <xdr:row>24</xdr:row>
      <xdr:rowOff>142875</xdr:rowOff>
    </xdr:from>
    <xdr:to>
      <xdr:col>4</xdr:col>
      <xdr:colOff>19050</xdr:colOff>
      <xdr:row>24</xdr:row>
      <xdr:rowOff>142875</xdr:rowOff>
    </xdr:to>
    <xdr:sp macro="" textlink="">
      <xdr:nvSpPr>
        <xdr:cNvPr id="126144" name="Line 19"/>
        <xdr:cNvSpPr>
          <a:spLocks noChangeShapeType="1"/>
        </xdr:cNvSpPr>
      </xdr:nvSpPr>
      <xdr:spPr bwMode="auto">
        <a:xfrm>
          <a:off x="3600450" y="4981575"/>
          <a:ext cx="142875" cy="0"/>
        </a:xfrm>
        <a:prstGeom prst="line">
          <a:avLst/>
        </a:prstGeom>
        <a:noFill/>
        <a:ln w="9525">
          <a:solidFill>
            <a:srgbClr val="000000"/>
          </a:solidFill>
          <a:round/>
          <a:headEnd/>
          <a:tailEnd/>
        </a:ln>
      </xdr:spPr>
    </xdr:sp>
    <xdr:clientData/>
  </xdr:twoCellAnchor>
  <xdr:twoCellAnchor>
    <xdr:from>
      <xdr:col>2</xdr:col>
      <xdr:colOff>542925</xdr:colOff>
      <xdr:row>27</xdr:row>
      <xdr:rowOff>123825</xdr:rowOff>
    </xdr:from>
    <xdr:to>
      <xdr:col>3</xdr:col>
      <xdr:colOff>19050</xdr:colOff>
      <xdr:row>27</xdr:row>
      <xdr:rowOff>123825</xdr:rowOff>
    </xdr:to>
    <xdr:sp macro="" textlink="">
      <xdr:nvSpPr>
        <xdr:cNvPr id="126145" name="Line 23"/>
        <xdr:cNvSpPr>
          <a:spLocks noChangeShapeType="1"/>
        </xdr:cNvSpPr>
      </xdr:nvSpPr>
      <xdr:spPr bwMode="auto">
        <a:xfrm>
          <a:off x="1685925" y="5562600"/>
          <a:ext cx="676275" cy="0"/>
        </a:xfrm>
        <a:prstGeom prst="line">
          <a:avLst/>
        </a:prstGeom>
        <a:noFill/>
        <a:ln w="9525">
          <a:solidFill>
            <a:srgbClr val="000000"/>
          </a:solidFill>
          <a:round/>
          <a:headEnd/>
          <a:tailEnd/>
        </a:ln>
      </xdr:spPr>
    </xdr:sp>
    <xdr:clientData/>
  </xdr:twoCellAnchor>
  <xdr:twoCellAnchor>
    <xdr:from>
      <xdr:col>2</xdr:col>
      <xdr:colOff>847725</xdr:colOff>
      <xdr:row>27</xdr:row>
      <xdr:rowOff>123825</xdr:rowOff>
    </xdr:from>
    <xdr:to>
      <xdr:col>2</xdr:col>
      <xdr:colOff>847725</xdr:colOff>
      <xdr:row>33</xdr:row>
      <xdr:rowOff>95250</xdr:rowOff>
    </xdr:to>
    <xdr:sp macro="" textlink="">
      <xdr:nvSpPr>
        <xdr:cNvPr id="126146" name="Line 24"/>
        <xdr:cNvSpPr>
          <a:spLocks noChangeShapeType="1"/>
        </xdr:cNvSpPr>
      </xdr:nvSpPr>
      <xdr:spPr bwMode="auto">
        <a:xfrm>
          <a:off x="1990725" y="5562600"/>
          <a:ext cx="0" cy="1133475"/>
        </a:xfrm>
        <a:prstGeom prst="line">
          <a:avLst/>
        </a:prstGeom>
        <a:noFill/>
        <a:ln w="9525">
          <a:solidFill>
            <a:srgbClr val="000000"/>
          </a:solidFill>
          <a:round/>
          <a:headEnd/>
          <a:tailEnd/>
        </a:ln>
      </xdr:spPr>
    </xdr:sp>
    <xdr:clientData/>
  </xdr:twoCellAnchor>
  <xdr:twoCellAnchor>
    <xdr:from>
      <xdr:col>3</xdr:col>
      <xdr:colOff>514350</xdr:colOff>
      <xdr:row>34</xdr:row>
      <xdr:rowOff>123825</xdr:rowOff>
    </xdr:from>
    <xdr:to>
      <xdr:col>4</xdr:col>
      <xdr:colOff>28575</xdr:colOff>
      <xdr:row>34</xdr:row>
      <xdr:rowOff>123825</xdr:rowOff>
    </xdr:to>
    <xdr:sp macro="" textlink="">
      <xdr:nvSpPr>
        <xdr:cNvPr id="126147" name="Line 27"/>
        <xdr:cNvSpPr>
          <a:spLocks noChangeShapeType="1"/>
        </xdr:cNvSpPr>
      </xdr:nvSpPr>
      <xdr:spPr bwMode="auto">
        <a:xfrm>
          <a:off x="2857500" y="6905625"/>
          <a:ext cx="895350" cy="0"/>
        </a:xfrm>
        <a:prstGeom prst="line">
          <a:avLst/>
        </a:prstGeom>
        <a:noFill/>
        <a:ln w="9525">
          <a:solidFill>
            <a:srgbClr val="000000"/>
          </a:solidFill>
          <a:round/>
          <a:headEnd/>
          <a:tailEnd/>
        </a:ln>
      </xdr:spPr>
    </xdr:sp>
    <xdr:clientData/>
  </xdr:twoCellAnchor>
  <xdr:twoCellAnchor>
    <xdr:from>
      <xdr:col>2</xdr:col>
      <xdr:colOff>866775</xdr:colOff>
      <xdr:row>34</xdr:row>
      <xdr:rowOff>114300</xdr:rowOff>
    </xdr:from>
    <xdr:to>
      <xdr:col>2</xdr:col>
      <xdr:colOff>876300</xdr:colOff>
      <xdr:row>46</xdr:row>
      <xdr:rowOff>95250</xdr:rowOff>
    </xdr:to>
    <xdr:sp macro="" textlink="">
      <xdr:nvSpPr>
        <xdr:cNvPr id="126148" name="Line 28"/>
        <xdr:cNvSpPr>
          <a:spLocks noChangeShapeType="1"/>
        </xdr:cNvSpPr>
      </xdr:nvSpPr>
      <xdr:spPr bwMode="auto">
        <a:xfrm>
          <a:off x="2009775" y="6896100"/>
          <a:ext cx="9525" cy="2381250"/>
        </a:xfrm>
        <a:prstGeom prst="line">
          <a:avLst/>
        </a:prstGeom>
        <a:noFill/>
        <a:ln w="9525">
          <a:solidFill>
            <a:srgbClr val="000000"/>
          </a:solidFill>
          <a:round/>
          <a:headEnd/>
          <a:tailEnd/>
        </a:ln>
      </xdr:spPr>
    </xdr:sp>
    <xdr:clientData/>
  </xdr:twoCellAnchor>
  <xdr:twoCellAnchor>
    <xdr:from>
      <xdr:col>2</xdr:col>
      <xdr:colOff>866775</xdr:colOff>
      <xdr:row>41</xdr:row>
      <xdr:rowOff>95250</xdr:rowOff>
    </xdr:from>
    <xdr:to>
      <xdr:col>2</xdr:col>
      <xdr:colOff>1123950</xdr:colOff>
      <xdr:row>41</xdr:row>
      <xdr:rowOff>95250</xdr:rowOff>
    </xdr:to>
    <xdr:sp macro="" textlink="">
      <xdr:nvSpPr>
        <xdr:cNvPr id="126149" name="Line 29"/>
        <xdr:cNvSpPr>
          <a:spLocks noChangeShapeType="1"/>
        </xdr:cNvSpPr>
      </xdr:nvSpPr>
      <xdr:spPr bwMode="auto">
        <a:xfrm>
          <a:off x="2009775" y="8277225"/>
          <a:ext cx="257175" cy="0"/>
        </a:xfrm>
        <a:prstGeom prst="line">
          <a:avLst/>
        </a:prstGeom>
        <a:noFill/>
        <a:ln w="9525">
          <a:solidFill>
            <a:srgbClr val="000000"/>
          </a:solidFill>
          <a:round/>
          <a:headEnd/>
          <a:tailEnd/>
        </a:ln>
      </xdr:spPr>
    </xdr:sp>
    <xdr:clientData/>
  </xdr:twoCellAnchor>
  <xdr:twoCellAnchor>
    <xdr:from>
      <xdr:col>2</xdr:col>
      <xdr:colOff>866775</xdr:colOff>
      <xdr:row>43</xdr:row>
      <xdr:rowOff>104775</xdr:rowOff>
    </xdr:from>
    <xdr:to>
      <xdr:col>2</xdr:col>
      <xdr:colOff>1190625</xdr:colOff>
      <xdr:row>43</xdr:row>
      <xdr:rowOff>104775</xdr:rowOff>
    </xdr:to>
    <xdr:sp macro="" textlink="">
      <xdr:nvSpPr>
        <xdr:cNvPr id="126150" name="Line 35"/>
        <xdr:cNvSpPr>
          <a:spLocks noChangeShapeType="1"/>
        </xdr:cNvSpPr>
      </xdr:nvSpPr>
      <xdr:spPr bwMode="auto">
        <a:xfrm>
          <a:off x="2009775" y="8686800"/>
          <a:ext cx="323850" cy="0"/>
        </a:xfrm>
        <a:prstGeom prst="line">
          <a:avLst/>
        </a:prstGeom>
        <a:noFill/>
        <a:ln w="9525">
          <a:solidFill>
            <a:srgbClr val="000000"/>
          </a:solidFill>
          <a:round/>
          <a:headEnd/>
          <a:tailEnd/>
        </a:ln>
      </xdr:spPr>
    </xdr:sp>
    <xdr:clientData/>
  </xdr:twoCellAnchor>
  <xdr:twoCellAnchor>
    <xdr:from>
      <xdr:col>3</xdr:col>
      <xdr:colOff>552450</xdr:colOff>
      <xdr:row>41</xdr:row>
      <xdr:rowOff>114300</xdr:rowOff>
    </xdr:from>
    <xdr:to>
      <xdr:col>4</xdr:col>
      <xdr:colOff>38100</xdr:colOff>
      <xdr:row>41</xdr:row>
      <xdr:rowOff>114300</xdr:rowOff>
    </xdr:to>
    <xdr:sp macro="" textlink="">
      <xdr:nvSpPr>
        <xdr:cNvPr id="126151" name="Line 36"/>
        <xdr:cNvSpPr>
          <a:spLocks noChangeShapeType="1"/>
        </xdr:cNvSpPr>
      </xdr:nvSpPr>
      <xdr:spPr bwMode="auto">
        <a:xfrm>
          <a:off x="2895600" y="8296275"/>
          <a:ext cx="866775" cy="0"/>
        </a:xfrm>
        <a:prstGeom prst="line">
          <a:avLst/>
        </a:prstGeom>
        <a:noFill/>
        <a:ln w="9525">
          <a:solidFill>
            <a:srgbClr val="000000"/>
          </a:solidFill>
          <a:round/>
          <a:headEnd/>
          <a:tailEnd/>
        </a:ln>
      </xdr:spPr>
    </xdr:sp>
    <xdr:clientData/>
  </xdr:twoCellAnchor>
  <xdr:twoCellAnchor>
    <xdr:from>
      <xdr:col>3</xdr:col>
      <xdr:colOff>1133475</xdr:colOff>
      <xdr:row>42</xdr:row>
      <xdr:rowOff>85725</xdr:rowOff>
    </xdr:from>
    <xdr:to>
      <xdr:col>4</xdr:col>
      <xdr:colOff>19050</xdr:colOff>
      <xdr:row>42</xdr:row>
      <xdr:rowOff>85725</xdr:rowOff>
    </xdr:to>
    <xdr:sp macro="" textlink="">
      <xdr:nvSpPr>
        <xdr:cNvPr id="126152" name="Line 37"/>
        <xdr:cNvSpPr>
          <a:spLocks noChangeShapeType="1"/>
        </xdr:cNvSpPr>
      </xdr:nvSpPr>
      <xdr:spPr bwMode="auto">
        <a:xfrm>
          <a:off x="3476625" y="8467725"/>
          <a:ext cx="266700" cy="0"/>
        </a:xfrm>
        <a:prstGeom prst="line">
          <a:avLst/>
        </a:prstGeom>
        <a:noFill/>
        <a:ln w="9525">
          <a:solidFill>
            <a:srgbClr val="000000"/>
          </a:solidFill>
          <a:round/>
          <a:headEnd/>
          <a:tailEnd/>
        </a:ln>
      </xdr:spPr>
    </xdr:sp>
    <xdr:clientData/>
  </xdr:twoCellAnchor>
  <xdr:twoCellAnchor>
    <xdr:from>
      <xdr:col>2</xdr:col>
      <xdr:colOff>876300</xdr:colOff>
      <xdr:row>44</xdr:row>
      <xdr:rowOff>85725</xdr:rowOff>
    </xdr:from>
    <xdr:to>
      <xdr:col>3</xdr:col>
      <xdr:colOff>0</xdr:colOff>
      <xdr:row>44</xdr:row>
      <xdr:rowOff>85725</xdr:rowOff>
    </xdr:to>
    <xdr:sp macro="" textlink="">
      <xdr:nvSpPr>
        <xdr:cNvPr id="126153" name="Line 39"/>
        <xdr:cNvSpPr>
          <a:spLocks noChangeShapeType="1"/>
        </xdr:cNvSpPr>
      </xdr:nvSpPr>
      <xdr:spPr bwMode="auto">
        <a:xfrm>
          <a:off x="2019300" y="8867775"/>
          <a:ext cx="323850" cy="0"/>
        </a:xfrm>
        <a:prstGeom prst="line">
          <a:avLst/>
        </a:prstGeom>
        <a:noFill/>
        <a:ln w="9525">
          <a:solidFill>
            <a:srgbClr val="000000"/>
          </a:solidFill>
          <a:round/>
          <a:headEnd/>
          <a:tailEnd/>
        </a:ln>
      </xdr:spPr>
    </xdr:sp>
    <xdr:clientData/>
  </xdr:twoCellAnchor>
  <xdr:twoCellAnchor>
    <xdr:from>
      <xdr:col>2</xdr:col>
      <xdr:colOff>885825</xdr:colOff>
      <xdr:row>45</xdr:row>
      <xdr:rowOff>85725</xdr:rowOff>
    </xdr:from>
    <xdr:to>
      <xdr:col>3</xdr:col>
      <xdr:colOff>9525</xdr:colOff>
      <xdr:row>45</xdr:row>
      <xdr:rowOff>85725</xdr:rowOff>
    </xdr:to>
    <xdr:sp macro="" textlink="">
      <xdr:nvSpPr>
        <xdr:cNvPr id="126154" name="Line 40"/>
        <xdr:cNvSpPr>
          <a:spLocks noChangeShapeType="1"/>
        </xdr:cNvSpPr>
      </xdr:nvSpPr>
      <xdr:spPr bwMode="auto">
        <a:xfrm>
          <a:off x="2028825" y="9067800"/>
          <a:ext cx="323850" cy="0"/>
        </a:xfrm>
        <a:prstGeom prst="line">
          <a:avLst/>
        </a:prstGeom>
        <a:noFill/>
        <a:ln w="9525">
          <a:solidFill>
            <a:srgbClr val="000000"/>
          </a:solidFill>
          <a:round/>
          <a:headEnd/>
          <a:tailEnd/>
        </a:ln>
      </xdr:spPr>
    </xdr:sp>
    <xdr:clientData/>
  </xdr:twoCellAnchor>
  <xdr:twoCellAnchor>
    <xdr:from>
      <xdr:col>2</xdr:col>
      <xdr:colOff>514350</xdr:colOff>
      <xdr:row>5</xdr:row>
      <xdr:rowOff>104775</xdr:rowOff>
    </xdr:from>
    <xdr:to>
      <xdr:col>2</xdr:col>
      <xdr:colOff>1104900</xdr:colOff>
      <xdr:row>5</xdr:row>
      <xdr:rowOff>104775</xdr:rowOff>
    </xdr:to>
    <xdr:sp macro="" textlink="">
      <xdr:nvSpPr>
        <xdr:cNvPr id="126155" name="Line 42"/>
        <xdr:cNvSpPr>
          <a:spLocks noChangeShapeType="1"/>
        </xdr:cNvSpPr>
      </xdr:nvSpPr>
      <xdr:spPr bwMode="auto">
        <a:xfrm>
          <a:off x="1657350" y="1143000"/>
          <a:ext cx="590550" cy="0"/>
        </a:xfrm>
        <a:prstGeom prst="line">
          <a:avLst/>
        </a:prstGeom>
        <a:noFill/>
        <a:ln w="9525">
          <a:solidFill>
            <a:srgbClr val="000000"/>
          </a:solidFill>
          <a:round/>
          <a:headEnd/>
          <a:tailEnd/>
        </a:ln>
      </xdr:spPr>
    </xdr:sp>
    <xdr:clientData/>
  </xdr:twoCellAnchor>
  <xdr:twoCellAnchor>
    <xdr:from>
      <xdr:col>2</xdr:col>
      <xdr:colOff>857250</xdr:colOff>
      <xdr:row>5</xdr:row>
      <xdr:rowOff>123825</xdr:rowOff>
    </xdr:from>
    <xdr:to>
      <xdr:col>2</xdr:col>
      <xdr:colOff>866775</xdr:colOff>
      <xdr:row>26</xdr:row>
      <xdr:rowOff>104775</xdr:rowOff>
    </xdr:to>
    <xdr:sp macro="" textlink="">
      <xdr:nvSpPr>
        <xdr:cNvPr id="126156" name="Line 43"/>
        <xdr:cNvSpPr>
          <a:spLocks noChangeShapeType="1"/>
        </xdr:cNvSpPr>
      </xdr:nvSpPr>
      <xdr:spPr bwMode="auto">
        <a:xfrm>
          <a:off x="2000250" y="1162050"/>
          <a:ext cx="9525" cy="4181475"/>
        </a:xfrm>
        <a:prstGeom prst="line">
          <a:avLst/>
        </a:prstGeom>
        <a:noFill/>
        <a:ln w="9525">
          <a:solidFill>
            <a:srgbClr val="000000"/>
          </a:solidFill>
          <a:round/>
          <a:headEnd/>
          <a:tailEnd/>
        </a:ln>
      </xdr:spPr>
    </xdr:sp>
    <xdr:clientData/>
  </xdr:twoCellAnchor>
  <xdr:twoCellAnchor>
    <xdr:from>
      <xdr:col>3</xdr:col>
      <xdr:colOff>1114425</xdr:colOff>
      <xdr:row>10</xdr:row>
      <xdr:rowOff>123825</xdr:rowOff>
    </xdr:from>
    <xdr:to>
      <xdr:col>3</xdr:col>
      <xdr:colOff>1371600</xdr:colOff>
      <xdr:row>10</xdr:row>
      <xdr:rowOff>123825</xdr:rowOff>
    </xdr:to>
    <xdr:sp macro="" textlink="">
      <xdr:nvSpPr>
        <xdr:cNvPr id="126157" name="Line 46"/>
        <xdr:cNvSpPr>
          <a:spLocks noChangeShapeType="1"/>
        </xdr:cNvSpPr>
      </xdr:nvSpPr>
      <xdr:spPr bwMode="auto">
        <a:xfrm>
          <a:off x="3457575" y="2162175"/>
          <a:ext cx="257175" cy="0"/>
        </a:xfrm>
        <a:prstGeom prst="line">
          <a:avLst/>
        </a:prstGeom>
        <a:noFill/>
        <a:ln w="9525">
          <a:solidFill>
            <a:srgbClr val="000000"/>
          </a:solidFill>
          <a:round/>
          <a:headEnd/>
          <a:tailEnd/>
        </a:ln>
      </xdr:spPr>
    </xdr:sp>
    <xdr:clientData/>
  </xdr:twoCellAnchor>
  <xdr:twoCellAnchor>
    <xdr:from>
      <xdr:col>3</xdr:col>
      <xdr:colOff>1114425</xdr:colOff>
      <xdr:row>9</xdr:row>
      <xdr:rowOff>114300</xdr:rowOff>
    </xdr:from>
    <xdr:to>
      <xdr:col>3</xdr:col>
      <xdr:colOff>1371600</xdr:colOff>
      <xdr:row>9</xdr:row>
      <xdr:rowOff>114300</xdr:rowOff>
    </xdr:to>
    <xdr:sp macro="" textlink="">
      <xdr:nvSpPr>
        <xdr:cNvPr id="126158" name="Line 47"/>
        <xdr:cNvSpPr>
          <a:spLocks noChangeShapeType="1"/>
        </xdr:cNvSpPr>
      </xdr:nvSpPr>
      <xdr:spPr bwMode="auto">
        <a:xfrm>
          <a:off x="3457575" y="1952625"/>
          <a:ext cx="257175" cy="0"/>
        </a:xfrm>
        <a:prstGeom prst="line">
          <a:avLst/>
        </a:prstGeom>
        <a:noFill/>
        <a:ln w="9525">
          <a:solidFill>
            <a:srgbClr val="000000"/>
          </a:solidFill>
          <a:round/>
          <a:headEnd/>
          <a:tailEnd/>
        </a:ln>
      </xdr:spPr>
    </xdr:sp>
    <xdr:clientData/>
  </xdr:twoCellAnchor>
  <xdr:twoCellAnchor>
    <xdr:from>
      <xdr:col>2</xdr:col>
      <xdr:colOff>866775</xdr:colOff>
      <xdr:row>11</xdr:row>
      <xdr:rowOff>85725</xdr:rowOff>
    </xdr:from>
    <xdr:to>
      <xdr:col>3</xdr:col>
      <xdr:colOff>0</xdr:colOff>
      <xdr:row>11</xdr:row>
      <xdr:rowOff>85725</xdr:rowOff>
    </xdr:to>
    <xdr:sp macro="" textlink="">
      <xdr:nvSpPr>
        <xdr:cNvPr id="126159" name="Line 48"/>
        <xdr:cNvSpPr>
          <a:spLocks noChangeShapeType="1"/>
        </xdr:cNvSpPr>
      </xdr:nvSpPr>
      <xdr:spPr bwMode="auto">
        <a:xfrm>
          <a:off x="2009775" y="2324100"/>
          <a:ext cx="333375" cy="0"/>
        </a:xfrm>
        <a:prstGeom prst="line">
          <a:avLst/>
        </a:prstGeom>
        <a:noFill/>
        <a:ln w="9525">
          <a:solidFill>
            <a:srgbClr val="000000"/>
          </a:solidFill>
          <a:round/>
          <a:headEnd/>
          <a:tailEnd/>
        </a:ln>
      </xdr:spPr>
    </xdr:sp>
    <xdr:clientData/>
  </xdr:twoCellAnchor>
  <xdr:twoCellAnchor>
    <xdr:from>
      <xdr:col>2</xdr:col>
      <xdr:colOff>885825</xdr:colOff>
      <xdr:row>17</xdr:row>
      <xdr:rowOff>123825</xdr:rowOff>
    </xdr:from>
    <xdr:to>
      <xdr:col>3</xdr:col>
      <xdr:colOff>9525</xdr:colOff>
      <xdr:row>17</xdr:row>
      <xdr:rowOff>123825</xdr:rowOff>
    </xdr:to>
    <xdr:sp macro="" textlink="">
      <xdr:nvSpPr>
        <xdr:cNvPr id="126160" name="Line 54"/>
        <xdr:cNvSpPr>
          <a:spLocks noChangeShapeType="1"/>
        </xdr:cNvSpPr>
      </xdr:nvSpPr>
      <xdr:spPr bwMode="auto">
        <a:xfrm>
          <a:off x="2028825" y="3562350"/>
          <a:ext cx="323850" cy="0"/>
        </a:xfrm>
        <a:prstGeom prst="line">
          <a:avLst/>
        </a:prstGeom>
        <a:noFill/>
        <a:ln w="9525">
          <a:solidFill>
            <a:srgbClr val="000000"/>
          </a:solidFill>
          <a:round/>
          <a:headEnd/>
          <a:tailEnd/>
        </a:ln>
      </xdr:spPr>
    </xdr:sp>
    <xdr:clientData/>
  </xdr:twoCellAnchor>
  <xdr:twoCellAnchor>
    <xdr:from>
      <xdr:col>2</xdr:col>
      <xdr:colOff>857250</xdr:colOff>
      <xdr:row>26</xdr:row>
      <xdr:rowOff>114300</xdr:rowOff>
    </xdr:from>
    <xdr:to>
      <xdr:col>2</xdr:col>
      <xdr:colOff>1181100</xdr:colOff>
      <xdr:row>26</xdr:row>
      <xdr:rowOff>114300</xdr:rowOff>
    </xdr:to>
    <xdr:sp macro="" textlink="">
      <xdr:nvSpPr>
        <xdr:cNvPr id="126161" name="Line 56"/>
        <xdr:cNvSpPr>
          <a:spLocks noChangeShapeType="1"/>
        </xdr:cNvSpPr>
      </xdr:nvSpPr>
      <xdr:spPr bwMode="auto">
        <a:xfrm>
          <a:off x="2000250" y="5353050"/>
          <a:ext cx="323850" cy="0"/>
        </a:xfrm>
        <a:prstGeom prst="line">
          <a:avLst/>
        </a:prstGeom>
        <a:noFill/>
        <a:ln w="9525">
          <a:solidFill>
            <a:srgbClr val="000000"/>
          </a:solidFill>
          <a:round/>
          <a:headEnd/>
          <a:tailEnd/>
        </a:ln>
      </xdr:spPr>
    </xdr:sp>
    <xdr:clientData/>
  </xdr:twoCellAnchor>
  <xdr:twoCellAnchor>
    <xdr:from>
      <xdr:col>7</xdr:col>
      <xdr:colOff>161925</xdr:colOff>
      <xdr:row>5</xdr:row>
      <xdr:rowOff>114300</xdr:rowOff>
    </xdr:from>
    <xdr:to>
      <xdr:col>7</xdr:col>
      <xdr:colOff>923925</xdr:colOff>
      <xdr:row>5</xdr:row>
      <xdr:rowOff>114300</xdr:rowOff>
    </xdr:to>
    <xdr:sp macro="" textlink="">
      <xdr:nvSpPr>
        <xdr:cNvPr id="126162" name="Line 59"/>
        <xdr:cNvSpPr>
          <a:spLocks noChangeShapeType="1"/>
        </xdr:cNvSpPr>
      </xdr:nvSpPr>
      <xdr:spPr bwMode="auto">
        <a:xfrm>
          <a:off x="6200775" y="1152525"/>
          <a:ext cx="762000" cy="0"/>
        </a:xfrm>
        <a:prstGeom prst="line">
          <a:avLst/>
        </a:prstGeom>
        <a:noFill/>
        <a:ln w="9525">
          <a:solidFill>
            <a:srgbClr val="000000"/>
          </a:solidFill>
          <a:round/>
          <a:headEnd/>
          <a:tailEnd/>
        </a:ln>
      </xdr:spPr>
    </xdr:sp>
    <xdr:clientData/>
  </xdr:twoCellAnchor>
  <xdr:twoCellAnchor>
    <xdr:from>
      <xdr:col>7</xdr:col>
      <xdr:colOff>523875</xdr:colOff>
      <xdr:row>5</xdr:row>
      <xdr:rowOff>123825</xdr:rowOff>
    </xdr:from>
    <xdr:to>
      <xdr:col>7</xdr:col>
      <xdr:colOff>552450</xdr:colOff>
      <xdr:row>16</xdr:row>
      <xdr:rowOff>123825</xdr:rowOff>
    </xdr:to>
    <xdr:sp macro="" textlink="">
      <xdr:nvSpPr>
        <xdr:cNvPr id="126163" name="Line 60"/>
        <xdr:cNvSpPr>
          <a:spLocks noChangeShapeType="1"/>
        </xdr:cNvSpPr>
      </xdr:nvSpPr>
      <xdr:spPr bwMode="auto">
        <a:xfrm>
          <a:off x="6562725" y="1162050"/>
          <a:ext cx="28575" cy="2200275"/>
        </a:xfrm>
        <a:prstGeom prst="line">
          <a:avLst/>
        </a:prstGeom>
        <a:noFill/>
        <a:ln w="9525">
          <a:solidFill>
            <a:srgbClr val="000000"/>
          </a:solidFill>
          <a:round/>
          <a:headEnd/>
          <a:tailEnd/>
        </a:ln>
      </xdr:spPr>
    </xdr:sp>
    <xdr:clientData/>
  </xdr:twoCellAnchor>
  <xdr:twoCellAnchor>
    <xdr:from>
      <xdr:col>7</xdr:col>
      <xdr:colOff>533400</xdr:colOff>
      <xdr:row>7</xdr:row>
      <xdr:rowOff>76200</xdr:rowOff>
    </xdr:from>
    <xdr:to>
      <xdr:col>7</xdr:col>
      <xdr:colOff>952500</xdr:colOff>
      <xdr:row>7</xdr:row>
      <xdr:rowOff>76200</xdr:rowOff>
    </xdr:to>
    <xdr:sp macro="" textlink="">
      <xdr:nvSpPr>
        <xdr:cNvPr id="126164" name="Line 61"/>
        <xdr:cNvSpPr>
          <a:spLocks noChangeShapeType="1"/>
        </xdr:cNvSpPr>
      </xdr:nvSpPr>
      <xdr:spPr bwMode="auto">
        <a:xfrm>
          <a:off x="6572250" y="1514475"/>
          <a:ext cx="419100" cy="0"/>
        </a:xfrm>
        <a:prstGeom prst="line">
          <a:avLst/>
        </a:prstGeom>
        <a:noFill/>
        <a:ln w="9525">
          <a:solidFill>
            <a:srgbClr val="000000"/>
          </a:solidFill>
          <a:round/>
          <a:headEnd/>
          <a:tailEnd/>
        </a:ln>
      </xdr:spPr>
    </xdr:sp>
    <xdr:clientData/>
  </xdr:twoCellAnchor>
  <xdr:twoCellAnchor>
    <xdr:from>
      <xdr:col>7</xdr:col>
      <xdr:colOff>523875</xdr:colOff>
      <xdr:row>8</xdr:row>
      <xdr:rowOff>85725</xdr:rowOff>
    </xdr:from>
    <xdr:to>
      <xdr:col>7</xdr:col>
      <xdr:colOff>962025</xdr:colOff>
      <xdr:row>8</xdr:row>
      <xdr:rowOff>85725</xdr:rowOff>
    </xdr:to>
    <xdr:sp macro="" textlink="">
      <xdr:nvSpPr>
        <xdr:cNvPr id="126165" name="Line 62"/>
        <xdr:cNvSpPr>
          <a:spLocks noChangeShapeType="1"/>
        </xdr:cNvSpPr>
      </xdr:nvSpPr>
      <xdr:spPr bwMode="auto">
        <a:xfrm>
          <a:off x="6562725" y="1724025"/>
          <a:ext cx="438150" cy="0"/>
        </a:xfrm>
        <a:prstGeom prst="line">
          <a:avLst/>
        </a:prstGeom>
        <a:noFill/>
        <a:ln w="9525">
          <a:solidFill>
            <a:srgbClr val="000000"/>
          </a:solidFill>
          <a:round/>
          <a:headEnd/>
          <a:tailEnd/>
        </a:ln>
      </xdr:spPr>
    </xdr:sp>
    <xdr:clientData/>
  </xdr:twoCellAnchor>
  <xdr:twoCellAnchor>
    <xdr:from>
      <xdr:col>7</xdr:col>
      <xdr:colOff>533400</xdr:colOff>
      <xdr:row>9</xdr:row>
      <xdr:rowOff>104775</xdr:rowOff>
    </xdr:from>
    <xdr:to>
      <xdr:col>7</xdr:col>
      <xdr:colOff>962025</xdr:colOff>
      <xdr:row>9</xdr:row>
      <xdr:rowOff>104775</xdr:rowOff>
    </xdr:to>
    <xdr:sp macro="" textlink="">
      <xdr:nvSpPr>
        <xdr:cNvPr id="126166" name="Line 63"/>
        <xdr:cNvSpPr>
          <a:spLocks noChangeShapeType="1"/>
        </xdr:cNvSpPr>
      </xdr:nvSpPr>
      <xdr:spPr bwMode="auto">
        <a:xfrm>
          <a:off x="6572250" y="1943100"/>
          <a:ext cx="428625" cy="0"/>
        </a:xfrm>
        <a:prstGeom prst="line">
          <a:avLst/>
        </a:prstGeom>
        <a:noFill/>
        <a:ln w="9525">
          <a:solidFill>
            <a:srgbClr val="000000"/>
          </a:solidFill>
          <a:round/>
          <a:headEnd/>
          <a:tailEnd/>
        </a:ln>
      </xdr:spPr>
    </xdr:sp>
    <xdr:clientData/>
  </xdr:twoCellAnchor>
  <xdr:twoCellAnchor>
    <xdr:from>
      <xdr:col>7</xdr:col>
      <xdr:colOff>523875</xdr:colOff>
      <xdr:row>10</xdr:row>
      <xdr:rowOff>123825</xdr:rowOff>
    </xdr:from>
    <xdr:to>
      <xdr:col>7</xdr:col>
      <xdr:colOff>914400</xdr:colOff>
      <xdr:row>10</xdr:row>
      <xdr:rowOff>123825</xdr:rowOff>
    </xdr:to>
    <xdr:sp macro="" textlink="">
      <xdr:nvSpPr>
        <xdr:cNvPr id="126167" name="Line 64"/>
        <xdr:cNvSpPr>
          <a:spLocks noChangeShapeType="1"/>
        </xdr:cNvSpPr>
      </xdr:nvSpPr>
      <xdr:spPr bwMode="auto">
        <a:xfrm>
          <a:off x="6562725" y="2162175"/>
          <a:ext cx="390525" cy="0"/>
        </a:xfrm>
        <a:prstGeom prst="line">
          <a:avLst/>
        </a:prstGeom>
        <a:noFill/>
        <a:ln w="9525">
          <a:solidFill>
            <a:srgbClr val="000000"/>
          </a:solidFill>
          <a:round/>
          <a:headEnd/>
          <a:tailEnd/>
        </a:ln>
      </xdr:spPr>
    </xdr:sp>
    <xdr:clientData/>
  </xdr:twoCellAnchor>
  <xdr:twoCellAnchor>
    <xdr:from>
      <xdr:col>7</xdr:col>
      <xdr:colOff>552450</xdr:colOff>
      <xdr:row>14</xdr:row>
      <xdr:rowOff>95250</xdr:rowOff>
    </xdr:from>
    <xdr:to>
      <xdr:col>7</xdr:col>
      <xdr:colOff>962025</xdr:colOff>
      <xdr:row>14</xdr:row>
      <xdr:rowOff>95250</xdr:rowOff>
    </xdr:to>
    <xdr:sp macro="" textlink="">
      <xdr:nvSpPr>
        <xdr:cNvPr id="126168" name="Line 65"/>
        <xdr:cNvSpPr>
          <a:spLocks noChangeShapeType="1"/>
        </xdr:cNvSpPr>
      </xdr:nvSpPr>
      <xdr:spPr bwMode="auto">
        <a:xfrm>
          <a:off x="6591300" y="2933700"/>
          <a:ext cx="409575" cy="0"/>
        </a:xfrm>
        <a:prstGeom prst="line">
          <a:avLst/>
        </a:prstGeom>
        <a:noFill/>
        <a:ln w="9525">
          <a:solidFill>
            <a:srgbClr val="000000"/>
          </a:solidFill>
          <a:round/>
          <a:headEnd/>
          <a:tailEnd/>
        </a:ln>
      </xdr:spPr>
    </xdr:sp>
    <xdr:clientData/>
  </xdr:twoCellAnchor>
  <xdr:twoCellAnchor>
    <xdr:from>
      <xdr:col>7</xdr:col>
      <xdr:colOff>561975</xdr:colOff>
      <xdr:row>12</xdr:row>
      <xdr:rowOff>95250</xdr:rowOff>
    </xdr:from>
    <xdr:to>
      <xdr:col>7</xdr:col>
      <xdr:colOff>952500</xdr:colOff>
      <xdr:row>12</xdr:row>
      <xdr:rowOff>95250</xdr:rowOff>
    </xdr:to>
    <xdr:sp macro="" textlink="">
      <xdr:nvSpPr>
        <xdr:cNvPr id="126169" name="Line 67"/>
        <xdr:cNvSpPr>
          <a:spLocks noChangeShapeType="1"/>
        </xdr:cNvSpPr>
      </xdr:nvSpPr>
      <xdr:spPr bwMode="auto">
        <a:xfrm>
          <a:off x="6600825" y="2533650"/>
          <a:ext cx="390525" cy="0"/>
        </a:xfrm>
        <a:prstGeom prst="line">
          <a:avLst/>
        </a:prstGeom>
        <a:noFill/>
        <a:ln w="9525">
          <a:solidFill>
            <a:srgbClr val="000000"/>
          </a:solidFill>
          <a:round/>
          <a:headEnd/>
          <a:tailEnd/>
        </a:ln>
      </xdr:spPr>
    </xdr:sp>
    <xdr:clientData/>
  </xdr:twoCellAnchor>
  <xdr:twoCellAnchor>
    <xdr:from>
      <xdr:col>7</xdr:col>
      <xdr:colOff>533400</xdr:colOff>
      <xdr:row>11</xdr:row>
      <xdr:rowOff>104775</xdr:rowOff>
    </xdr:from>
    <xdr:to>
      <xdr:col>7</xdr:col>
      <xdr:colOff>933450</xdr:colOff>
      <xdr:row>11</xdr:row>
      <xdr:rowOff>104775</xdr:rowOff>
    </xdr:to>
    <xdr:sp macro="" textlink="">
      <xdr:nvSpPr>
        <xdr:cNvPr id="126170" name="Line 68"/>
        <xdr:cNvSpPr>
          <a:spLocks noChangeShapeType="1"/>
        </xdr:cNvSpPr>
      </xdr:nvSpPr>
      <xdr:spPr bwMode="auto">
        <a:xfrm>
          <a:off x="6572250" y="2343150"/>
          <a:ext cx="400050" cy="0"/>
        </a:xfrm>
        <a:prstGeom prst="line">
          <a:avLst/>
        </a:prstGeom>
        <a:noFill/>
        <a:ln w="9525">
          <a:solidFill>
            <a:srgbClr val="000000"/>
          </a:solidFill>
          <a:round/>
          <a:headEnd/>
          <a:tailEnd/>
        </a:ln>
      </xdr:spPr>
    </xdr:sp>
    <xdr:clientData/>
  </xdr:twoCellAnchor>
  <xdr:twoCellAnchor>
    <xdr:from>
      <xdr:col>7</xdr:col>
      <xdr:colOff>561975</xdr:colOff>
      <xdr:row>13</xdr:row>
      <xdr:rowOff>123825</xdr:rowOff>
    </xdr:from>
    <xdr:to>
      <xdr:col>7</xdr:col>
      <xdr:colOff>942975</xdr:colOff>
      <xdr:row>13</xdr:row>
      <xdr:rowOff>123825</xdr:rowOff>
    </xdr:to>
    <xdr:sp macro="" textlink="">
      <xdr:nvSpPr>
        <xdr:cNvPr id="126171" name="Line 69"/>
        <xdr:cNvSpPr>
          <a:spLocks noChangeShapeType="1"/>
        </xdr:cNvSpPr>
      </xdr:nvSpPr>
      <xdr:spPr bwMode="auto">
        <a:xfrm>
          <a:off x="6600825" y="2762250"/>
          <a:ext cx="381000" cy="0"/>
        </a:xfrm>
        <a:prstGeom prst="line">
          <a:avLst/>
        </a:prstGeom>
        <a:noFill/>
        <a:ln w="9525">
          <a:solidFill>
            <a:srgbClr val="000000"/>
          </a:solidFill>
          <a:round/>
          <a:headEnd/>
          <a:tailEnd/>
        </a:ln>
      </xdr:spPr>
    </xdr:sp>
    <xdr:clientData/>
  </xdr:twoCellAnchor>
  <xdr:twoCellAnchor>
    <xdr:from>
      <xdr:col>7</xdr:col>
      <xdr:colOff>523875</xdr:colOff>
      <xdr:row>6</xdr:row>
      <xdr:rowOff>104775</xdr:rowOff>
    </xdr:from>
    <xdr:to>
      <xdr:col>7</xdr:col>
      <xdr:colOff>885825</xdr:colOff>
      <xdr:row>6</xdr:row>
      <xdr:rowOff>104775</xdr:rowOff>
    </xdr:to>
    <xdr:sp macro="" textlink="">
      <xdr:nvSpPr>
        <xdr:cNvPr id="126172" name="Line 70"/>
        <xdr:cNvSpPr>
          <a:spLocks noChangeShapeType="1"/>
        </xdr:cNvSpPr>
      </xdr:nvSpPr>
      <xdr:spPr bwMode="auto">
        <a:xfrm>
          <a:off x="6562725" y="1343025"/>
          <a:ext cx="361950" cy="0"/>
        </a:xfrm>
        <a:prstGeom prst="line">
          <a:avLst/>
        </a:prstGeom>
        <a:noFill/>
        <a:ln w="9525">
          <a:solidFill>
            <a:srgbClr val="000000"/>
          </a:solidFill>
          <a:round/>
          <a:headEnd/>
          <a:tailEnd/>
        </a:ln>
      </xdr:spPr>
    </xdr:sp>
    <xdr:clientData/>
  </xdr:twoCellAnchor>
  <xdr:twoCellAnchor>
    <xdr:from>
      <xdr:col>7</xdr:col>
      <xdr:colOff>561975</xdr:colOff>
      <xdr:row>15</xdr:row>
      <xdr:rowOff>133350</xdr:rowOff>
    </xdr:from>
    <xdr:to>
      <xdr:col>7</xdr:col>
      <xdr:colOff>933450</xdr:colOff>
      <xdr:row>15</xdr:row>
      <xdr:rowOff>133350</xdr:rowOff>
    </xdr:to>
    <xdr:sp macro="" textlink="">
      <xdr:nvSpPr>
        <xdr:cNvPr id="126173" name="Line 72"/>
        <xdr:cNvSpPr>
          <a:spLocks noChangeShapeType="1"/>
        </xdr:cNvSpPr>
      </xdr:nvSpPr>
      <xdr:spPr bwMode="auto">
        <a:xfrm>
          <a:off x="6600825" y="3171825"/>
          <a:ext cx="371475" cy="0"/>
        </a:xfrm>
        <a:prstGeom prst="line">
          <a:avLst/>
        </a:prstGeom>
        <a:noFill/>
        <a:ln w="9525">
          <a:solidFill>
            <a:srgbClr val="000000"/>
          </a:solidFill>
          <a:round/>
          <a:headEnd/>
          <a:tailEnd/>
        </a:ln>
      </xdr:spPr>
    </xdr:sp>
    <xdr:clientData/>
  </xdr:twoCellAnchor>
  <xdr:twoCellAnchor>
    <xdr:from>
      <xdr:col>7</xdr:col>
      <xdr:colOff>571500</xdr:colOff>
      <xdr:row>16</xdr:row>
      <xdr:rowOff>123825</xdr:rowOff>
    </xdr:from>
    <xdr:to>
      <xdr:col>7</xdr:col>
      <xdr:colOff>952500</xdr:colOff>
      <xdr:row>16</xdr:row>
      <xdr:rowOff>123825</xdr:rowOff>
    </xdr:to>
    <xdr:sp macro="" textlink="">
      <xdr:nvSpPr>
        <xdr:cNvPr id="126174" name="Line 73"/>
        <xdr:cNvSpPr>
          <a:spLocks noChangeShapeType="1"/>
        </xdr:cNvSpPr>
      </xdr:nvSpPr>
      <xdr:spPr bwMode="auto">
        <a:xfrm>
          <a:off x="6610350" y="3362325"/>
          <a:ext cx="381000" cy="0"/>
        </a:xfrm>
        <a:prstGeom prst="line">
          <a:avLst/>
        </a:prstGeom>
        <a:noFill/>
        <a:ln w="9525">
          <a:solidFill>
            <a:srgbClr val="000000"/>
          </a:solidFill>
          <a:round/>
          <a:headEnd/>
          <a:tailEnd/>
        </a:ln>
      </xdr:spPr>
    </xdr:sp>
    <xdr:clientData/>
  </xdr:twoCellAnchor>
  <xdr:twoCellAnchor>
    <xdr:from>
      <xdr:col>6</xdr:col>
      <xdr:colOff>533400</xdr:colOff>
      <xdr:row>19</xdr:row>
      <xdr:rowOff>104775</xdr:rowOff>
    </xdr:from>
    <xdr:to>
      <xdr:col>6</xdr:col>
      <xdr:colOff>371475</xdr:colOff>
      <xdr:row>19</xdr:row>
      <xdr:rowOff>104775</xdr:rowOff>
    </xdr:to>
    <xdr:sp macro="" textlink="">
      <xdr:nvSpPr>
        <xdr:cNvPr id="126175" name="Line 75"/>
        <xdr:cNvSpPr>
          <a:spLocks noChangeShapeType="1"/>
        </xdr:cNvSpPr>
      </xdr:nvSpPr>
      <xdr:spPr bwMode="auto">
        <a:xfrm>
          <a:off x="6038850" y="3943350"/>
          <a:ext cx="0" cy="0"/>
        </a:xfrm>
        <a:prstGeom prst="line">
          <a:avLst/>
        </a:prstGeom>
        <a:noFill/>
        <a:ln w="9525">
          <a:solidFill>
            <a:srgbClr val="000000"/>
          </a:solidFill>
          <a:round/>
          <a:headEnd/>
          <a:tailEnd/>
        </a:ln>
      </xdr:spPr>
    </xdr:sp>
    <xdr:clientData/>
  </xdr:twoCellAnchor>
  <xdr:twoCellAnchor>
    <xdr:from>
      <xdr:col>7</xdr:col>
      <xdr:colOff>523875</xdr:colOff>
      <xdr:row>19</xdr:row>
      <xdr:rowOff>95250</xdr:rowOff>
    </xdr:from>
    <xdr:to>
      <xdr:col>7</xdr:col>
      <xdr:colOff>533400</xdr:colOff>
      <xdr:row>25</xdr:row>
      <xdr:rowOff>123825</xdr:rowOff>
    </xdr:to>
    <xdr:sp macro="" textlink="">
      <xdr:nvSpPr>
        <xdr:cNvPr id="126176" name="Line 76"/>
        <xdr:cNvSpPr>
          <a:spLocks noChangeShapeType="1"/>
        </xdr:cNvSpPr>
      </xdr:nvSpPr>
      <xdr:spPr bwMode="auto">
        <a:xfrm>
          <a:off x="6562725" y="3933825"/>
          <a:ext cx="9525" cy="1228725"/>
        </a:xfrm>
        <a:prstGeom prst="line">
          <a:avLst/>
        </a:prstGeom>
        <a:noFill/>
        <a:ln w="9525">
          <a:solidFill>
            <a:srgbClr val="000000"/>
          </a:solidFill>
          <a:round/>
          <a:headEnd/>
          <a:tailEnd/>
        </a:ln>
      </xdr:spPr>
    </xdr:sp>
    <xdr:clientData/>
  </xdr:twoCellAnchor>
  <xdr:twoCellAnchor>
    <xdr:from>
      <xdr:col>7</xdr:col>
      <xdr:colOff>523875</xdr:colOff>
      <xdr:row>20</xdr:row>
      <xdr:rowOff>76200</xdr:rowOff>
    </xdr:from>
    <xdr:to>
      <xdr:col>7</xdr:col>
      <xdr:colOff>942975</xdr:colOff>
      <xdr:row>20</xdr:row>
      <xdr:rowOff>76200</xdr:rowOff>
    </xdr:to>
    <xdr:sp macro="" textlink="">
      <xdr:nvSpPr>
        <xdr:cNvPr id="126177" name="Line 77"/>
        <xdr:cNvSpPr>
          <a:spLocks noChangeShapeType="1"/>
        </xdr:cNvSpPr>
      </xdr:nvSpPr>
      <xdr:spPr bwMode="auto">
        <a:xfrm>
          <a:off x="6562725" y="4114800"/>
          <a:ext cx="419100" cy="0"/>
        </a:xfrm>
        <a:prstGeom prst="line">
          <a:avLst/>
        </a:prstGeom>
        <a:noFill/>
        <a:ln w="9525">
          <a:solidFill>
            <a:srgbClr val="000000"/>
          </a:solidFill>
          <a:round/>
          <a:headEnd/>
          <a:tailEnd/>
        </a:ln>
      </xdr:spPr>
    </xdr:sp>
    <xdr:clientData/>
  </xdr:twoCellAnchor>
  <xdr:twoCellAnchor>
    <xdr:from>
      <xdr:col>7</xdr:col>
      <xdr:colOff>514350</xdr:colOff>
      <xdr:row>21</xdr:row>
      <xdr:rowOff>85725</xdr:rowOff>
    </xdr:from>
    <xdr:to>
      <xdr:col>7</xdr:col>
      <xdr:colOff>952500</xdr:colOff>
      <xdr:row>21</xdr:row>
      <xdr:rowOff>85725</xdr:rowOff>
    </xdr:to>
    <xdr:sp macro="" textlink="">
      <xdr:nvSpPr>
        <xdr:cNvPr id="126178" name="Line 78"/>
        <xdr:cNvSpPr>
          <a:spLocks noChangeShapeType="1"/>
        </xdr:cNvSpPr>
      </xdr:nvSpPr>
      <xdr:spPr bwMode="auto">
        <a:xfrm>
          <a:off x="6553200" y="4324350"/>
          <a:ext cx="438150" cy="0"/>
        </a:xfrm>
        <a:prstGeom prst="line">
          <a:avLst/>
        </a:prstGeom>
        <a:noFill/>
        <a:ln w="9525">
          <a:solidFill>
            <a:srgbClr val="000000"/>
          </a:solidFill>
          <a:round/>
          <a:headEnd/>
          <a:tailEnd/>
        </a:ln>
      </xdr:spPr>
    </xdr:sp>
    <xdr:clientData/>
  </xdr:twoCellAnchor>
  <xdr:twoCellAnchor>
    <xdr:from>
      <xdr:col>7</xdr:col>
      <xdr:colOff>542925</xdr:colOff>
      <xdr:row>25</xdr:row>
      <xdr:rowOff>114300</xdr:rowOff>
    </xdr:from>
    <xdr:to>
      <xdr:col>7</xdr:col>
      <xdr:colOff>933450</xdr:colOff>
      <xdr:row>25</xdr:row>
      <xdr:rowOff>114300</xdr:rowOff>
    </xdr:to>
    <xdr:sp macro="" textlink="">
      <xdr:nvSpPr>
        <xdr:cNvPr id="126179" name="Line 80"/>
        <xdr:cNvSpPr>
          <a:spLocks noChangeShapeType="1"/>
        </xdr:cNvSpPr>
      </xdr:nvSpPr>
      <xdr:spPr bwMode="auto">
        <a:xfrm>
          <a:off x="6581775" y="5153025"/>
          <a:ext cx="390525" cy="0"/>
        </a:xfrm>
        <a:prstGeom prst="line">
          <a:avLst/>
        </a:prstGeom>
        <a:noFill/>
        <a:ln w="9525">
          <a:solidFill>
            <a:srgbClr val="000000"/>
          </a:solidFill>
          <a:round/>
          <a:headEnd/>
          <a:tailEnd/>
        </a:ln>
      </xdr:spPr>
    </xdr:sp>
    <xdr:clientData/>
  </xdr:twoCellAnchor>
  <xdr:twoCellAnchor>
    <xdr:from>
      <xdr:col>7</xdr:col>
      <xdr:colOff>552450</xdr:colOff>
      <xdr:row>24</xdr:row>
      <xdr:rowOff>142875</xdr:rowOff>
    </xdr:from>
    <xdr:to>
      <xdr:col>7</xdr:col>
      <xdr:colOff>942975</xdr:colOff>
      <xdr:row>24</xdr:row>
      <xdr:rowOff>142875</xdr:rowOff>
    </xdr:to>
    <xdr:sp macro="" textlink="">
      <xdr:nvSpPr>
        <xdr:cNvPr id="126180" name="Line 81"/>
        <xdr:cNvSpPr>
          <a:spLocks noChangeShapeType="1"/>
        </xdr:cNvSpPr>
      </xdr:nvSpPr>
      <xdr:spPr bwMode="auto">
        <a:xfrm>
          <a:off x="6591300" y="4981575"/>
          <a:ext cx="390525" cy="0"/>
        </a:xfrm>
        <a:prstGeom prst="line">
          <a:avLst/>
        </a:prstGeom>
        <a:noFill/>
        <a:ln w="9525">
          <a:solidFill>
            <a:srgbClr val="000000"/>
          </a:solidFill>
          <a:round/>
          <a:headEnd/>
          <a:tailEnd/>
        </a:ln>
      </xdr:spPr>
    </xdr:sp>
    <xdr:clientData/>
  </xdr:twoCellAnchor>
  <xdr:twoCellAnchor>
    <xdr:from>
      <xdr:col>7</xdr:col>
      <xdr:colOff>514350</xdr:colOff>
      <xdr:row>22</xdr:row>
      <xdr:rowOff>85725</xdr:rowOff>
    </xdr:from>
    <xdr:to>
      <xdr:col>7</xdr:col>
      <xdr:colOff>952500</xdr:colOff>
      <xdr:row>22</xdr:row>
      <xdr:rowOff>85725</xdr:rowOff>
    </xdr:to>
    <xdr:sp macro="" textlink="">
      <xdr:nvSpPr>
        <xdr:cNvPr id="126181" name="Line 84"/>
        <xdr:cNvSpPr>
          <a:spLocks noChangeShapeType="1"/>
        </xdr:cNvSpPr>
      </xdr:nvSpPr>
      <xdr:spPr bwMode="auto">
        <a:xfrm>
          <a:off x="6553200" y="4524375"/>
          <a:ext cx="438150" cy="0"/>
        </a:xfrm>
        <a:prstGeom prst="line">
          <a:avLst/>
        </a:prstGeom>
        <a:noFill/>
        <a:ln w="9525">
          <a:solidFill>
            <a:srgbClr val="000000"/>
          </a:solidFill>
          <a:round/>
          <a:headEnd/>
          <a:tailEnd/>
        </a:ln>
      </xdr:spPr>
    </xdr:sp>
    <xdr:clientData/>
  </xdr:twoCellAnchor>
  <xdr:twoCellAnchor>
    <xdr:from>
      <xdr:col>3</xdr:col>
      <xdr:colOff>1466850</xdr:colOff>
      <xdr:row>10</xdr:row>
      <xdr:rowOff>123825</xdr:rowOff>
    </xdr:from>
    <xdr:to>
      <xdr:col>3</xdr:col>
      <xdr:colOff>1381125</xdr:colOff>
      <xdr:row>10</xdr:row>
      <xdr:rowOff>123825</xdr:rowOff>
    </xdr:to>
    <xdr:sp macro="" textlink="">
      <xdr:nvSpPr>
        <xdr:cNvPr id="126182" name="Line 86"/>
        <xdr:cNvSpPr>
          <a:spLocks noChangeShapeType="1"/>
        </xdr:cNvSpPr>
      </xdr:nvSpPr>
      <xdr:spPr bwMode="auto">
        <a:xfrm flipV="1">
          <a:off x="3724275" y="2162175"/>
          <a:ext cx="0" cy="0"/>
        </a:xfrm>
        <a:prstGeom prst="line">
          <a:avLst/>
        </a:prstGeom>
        <a:noFill/>
        <a:ln w="9525">
          <a:solidFill>
            <a:srgbClr val="000000"/>
          </a:solidFill>
          <a:round/>
          <a:headEnd/>
          <a:tailEnd/>
        </a:ln>
      </xdr:spPr>
    </xdr:sp>
    <xdr:clientData/>
  </xdr:twoCellAnchor>
  <xdr:twoCellAnchor>
    <xdr:from>
      <xdr:col>3</xdr:col>
      <xdr:colOff>1266825</xdr:colOff>
      <xdr:row>19</xdr:row>
      <xdr:rowOff>114300</xdr:rowOff>
    </xdr:from>
    <xdr:to>
      <xdr:col>4</xdr:col>
      <xdr:colOff>0</xdr:colOff>
      <xdr:row>19</xdr:row>
      <xdr:rowOff>114300</xdr:rowOff>
    </xdr:to>
    <xdr:sp macro="" textlink="">
      <xdr:nvSpPr>
        <xdr:cNvPr id="126183" name="Line 89"/>
        <xdr:cNvSpPr>
          <a:spLocks noChangeShapeType="1"/>
        </xdr:cNvSpPr>
      </xdr:nvSpPr>
      <xdr:spPr bwMode="auto">
        <a:xfrm>
          <a:off x="3609975" y="3952875"/>
          <a:ext cx="114300" cy="0"/>
        </a:xfrm>
        <a:prstGeom prst="line">
          <a:avLst/>
        </a:prstGeom>
        <a:noFill/>
        <a:ln w="9525">
          <a:solidFill>
            <a:srgbClr val="000000"/>
          </a:solidFill>
          <a:round/>
          <a:headEnd/>
          <a:tailEnd/>
        </a:ln>
      </xdr:spPr>
    </xdr:sp>
    <xdr:clientData/>
  </xdr:twoCellAnchor>
  <xdr:twoCellAnchor>
    <xdr:from>
      <xdr:col>3</xdr:col>
      <xdr:colOff>1019175</xdr:colOff>
      <xdr:row>27</xdr:row>
      <xdr:rowOff>133350</xdr:rowOff>
    </xdr:from>
    <xdr:to>
      <xdr:col>4</xdr:col>
      <xdr:colOff>28575</xdr:colOff>
      <xdr:row>27</xdr:row>
      <xdr:rowOff>133350</xdr:rowOff>
    </xdr:to>
    <xdr:sp macro="" textlink="">
      <xdr:nvSpPr>
        <xdr:cNvPr id="126184" name="Line 95"/>
        <xdr:cNvSpPr>
          <a:spLocks noChangeShapeType="1"/>
        </xdr:cNvSpPr>
      </xdr:nvSpPr>
      <xdr:spPr bwMode="auto">
        <a:xfrm>
          <a:off x="3362325" y="5572125"/>
          <a:ext cx="390525" cy="0"/>
        </a:xfrm>
        <a:prstGeom prst="line">
          <a:avLst/>
        </a:prstGeom>
        <a:noFill/>
        <a:ln w="9525">
          <a:solidFill>
            <a:srgbClr val="000000"/>
          </a:solidFill>
          <a:round/>
          <a:headEnd/>
          <a:tailEnd/>
        </a:ln>
      </xdr:spPr>
    </xdr:sp>
    <xdr:clientData/>
  </xdr:twoCellAnchor>
  <xdr:twoCellAnchor>
    <xdr:from>
      <xdr:col>3</xdr:col>
      <xdr:colOff>1190625</xdr:colOff>
      <xdr:row>28</xdr:row>
      <xdr:rowOff>104775</xdr:rowOff>
    </xdr:from>
    <xdr:to>
      <xdr:col>4</xdr:col>
      <xdr:colOff>19050</xdr:colOff>
      <xdr:row>28</xdr:row>
      <xdr:rowOff>104775</xdr:rowOff>
    </xdr:to>
    <xdr:sp macro="" textlink="">
      <xdr:nvSpPr>
        <xdr:cNvPr id="126185" name="Line 96"/>
        <xdr:cNvSpPr>
          <a:spLocks noChangeShapeType="1"/>
        </xdr:cNvSpPr>
      </xdr:nvSpPr>
      <xdr:spPr bwMode="auto">
        <a:xfrm flipV="1">
          <a:off x="3533775" y="5743575"/>
          <a:ext cx="209550" cy="0"/>
        </a:xfrm>
        <a:prstGeom prst="line">
          <a:avLst/>
        </a:prstGeom>
        <a:noFill/>
        <a:ln w="9525">
          <a:solidFill>
            <a:srgbClr val="000000"/>
          </a:solidFill>
          <a:round/>
          <a:headEnd/>
          <a:tailEnd/>
        </a:ln>
      </xdr:spPr>
    </xdr:sp>
    <xdr:clientData/>
  </xdr:twoCellAnchor>
  <xdr:twoCellAnchor>
    <xdr:from>
      <xdr:col>3</xdr:col>
      <xdr:colOff>1181100</xdr:colOff>
      <xdr:row>29</xdr:row>
      <xdr:rowOff>123825</xdr:rowOff>
    </xdr:from>
    <xdr:to>
      <xdr:col>4</xdr:col>
      <xdr:colOff>9525</xdr:colOff>
      <xdr:row>29</xdr:row>
      <xdr:rowOff>123825</xdr:rowOff>
    </xdr:to>
    <xdr:sp macro="" textlink="">
      <xdr:nvSpPr>
        <xdr:cNvPr id="126186" name="Line 97"/>
        <xdr:cNvSpPr>
          <a:spLocks noChangeShapeType="1"/>
        </xdr:cNvSpPr>
      </xdr:nvSpPr>
      <xdr:spPr bwMode="auto">
        <a:xfrm flipV="1">
          <a:off x="3524250" y="5962650"/>
          <a:ext cx="209550" cy="0"/>
        </a:xfrm>
        <a:prstGeom prst="line">
          <a:avLst/>
        </a:prstGeom>
        <a:noFill/>
        <a:ln w="9525">
          <a:solidFill>
            <a:srgbClr val="000000"/>
          </a:solidFill>
          <a:round/>
          <a:headEnd/>
          <a:tailEnd/>
        </a:ln>
      </xdr:spPr>
    </xdr:sp>
    <xdr:clientData/>
  </xdr:twoCellAnchor>
  <xdr:twoCellAnchor>
    <xdr:from>
      <xdr:col>3</xdr:col>
      <xdr:colOff>1181100</xdr:colOff>
      <xdr:row>27</xdr:row>
      <xdr:rowOff>142875</xdr:rowOff>
    </xdr:from>
    <xdr:to>
      <xdr:col>3</xdr:col>
      <xdr:colOff>1190625</xdr:colOff>
      <xdr:row>29</xdr:row>
      <xdr:rowOff>142875</xdr:rowOff>
    </xdr:to>
    <xdr:sp macro="" textlink="">
      <xdr:nvSpPr>
        <xdr:cNvPr id="126187" name="Line 98"/>
        <xdr:cNvSpPr>
          <a:spLocks noChangeShapeType="1"/>
        </xdr:cNvSpPr>
      </xdr:nvSpPr>
      <xdr:spPr bwMode="auto">
        <a:xfrm flipH="1">
          <a:off x="3524250" y="5581650"/>
          <a:ext cx="9525" cy="400050"/>
        </a:xfrm>
        <a:prstGeom prst="line">
          <a:avLst/>
        </a:prstGeom>
        <a:noFill/>
        <a:ln w="9525">
          <a:solidFill>
            <a:srgbClr val="000000"/>
          </a:solidFill>
          <a:round/>
          <a:headEnd/>
          <a:tailEnd/>
        </a:ln>
      </xdr:spPr>
    </xdr:sp>
    <xdr:clientData/>
  </xdr:twoCellAnchor>
  <xdr:twoCellAnchor>
    <xdr:from>
      <xdr:col>3</xdr:col>
      <xdr:colOff>1133475</xdr:colOff>
      <xdr:row>34</xdr:row>
      <xdr:rowOff>133350</xdr:rowOff>
    </xdr:from>
    <xdr:to>
      <xdr:col>3</xdr:col>
      <xdr:colOff>1133475</xdr:colOff>
      <xdr:row>40</xdr:row>
      <xdr:rowOff>152400</xdr:rowOff>
    </xdr:to>
    <xdr:sp macro="" textlink="">
      <xdr:nvSpPr>
        <xdr:cNvPr id="126188" name="Line 100"/>
        <xdr:cNvSpPr>
          <a:spLocks noChangeShapeType="1"/>
        </xdr:cNvSpPr>
      </xdr:nvSpPr>
      <xdr:spPr bwMode="auto">
        <a:xfrm>
          <a:off x="3476625" y="6915150"/>
          <a:ext cx="0" cy="1219200"/>
        </a:xfrm>
        <a:prstGeom prst="line">
          <a:avLst/>
        </a:prstGeom>
        <a:noFill/>
        <a:ln w="9525">
          <a:solidFill>
            <a:srgbClr val="000000"/>
          </a:solidFill>
          <a:round/>
          <a:headEnd/>
          <a:tailEnd/>
        </a:ln>
      </xdr:spPr>
    </xdr:sp>
    <xdr:clientData/>
  </xdr:twoCellAnchor>
  <xdr:twoCellAnchor>
    <xdr:from>
      <xdr:col>2</xdr:col>
      <xdr:colOff>1381125</xdr:colOff>
      <xdr:row>31</xdr:row>
      <xdr:rowOff>114300</xdr:rowOff>
    </xdr:from>
    <xdr:to>
      <xdr:col>3</xdr:col>
      <xdr:colOff>9525</xdr:colOff>
      <xdr:row>31</xdr:row>
      <xdr:rowOff>114300</xdr:rowOff>
    </xdr:to>
    <xdr:sp macro="" textlink="">
      <xdr:nvSpPr>
        <xdr:cNvPr id="126189" name="Line 103"/>
        <xdr:cNvSpPr>
          <a:spLocks noChangeShapeType="1"/>
        </xdr:cNvSpPr>
      </xdr:nvSpPr>
      <xdr:spPr bwMode="auto">
        <a:xfrm>
          <a:off x="2343150" y="6353175"/>
          <a:ext cx="9525" cy="0"/>
        </a:xfrm>
        <a:prstGeom prst="line">
          <a:avLst/>
        </a:prstGeom>
        <a:noFill/>
        <a:ln w="9525">
          <a:solidFill>
            <a:srgbClr val="000000"/>
          </a:solidFill>
          <a:round/>
          <a:headEnd/>
          <a:tailEnd/>
        </a:ln>
      </xdr:spPr>
    </xdr:sp>
    <xdr:clientData/>
  </xdr:twoCellAnchor>
  <xdr:twoCellAnchor>
    <xdr:from>
      <xdr:col>3</xdr:col>
      <xdr:colOff>1371600</xdr:colOff>
      <xdr:row>30</xdr:row>
      <xdr:rowOff>104775</xdr:rowOff>
    </xdr:from>
    <xdr:to>
      <xdr:col>4</xdr:col>
      <xdr:colOff>0</xdr:colOff>
      <xdr:row>30</xdr:row>
      <xdr:rowOff>104775</xdr:rowOff>
    </xdr:to>
    <xdr:sp macro="" textlink="">
      <xdr:nvSpPr>
        <xdr:cNvPr id="126190" name="Line 108"/>
        <xdr:cNvSpPr>
          <a:spLocks noChangeShapeType="1"/>
        </xdr:cNvSpPr>
      </xdr:nvSpPr>
      <xdr:spPr bwMode="auto">
        <a:xfrm>
          <a:off x="3714750" y="6143625"/>
          <a:ext cx="9525" cy="0"/>
        </a:xfrm>
        <a:prstGeom prst="line">
          <a:avLst/>
        </a:prstGeom>
        <a:noFill/>
        <a:ln w="9525">
          <a:solidFill>
            <a:srgbClr val="000000"/>
          </a:solidFill>
          <a:round/>
          <a:headEnd/>
          <a:tailEnd/>
        </a:ln>
      </xdr:spPr>
    </xdr:sp>
    <xdr:clientData/>
  </xdr:twoCellAnchor>
  <xdr:twoCellAnchor>
    <xdr:from>
      <xdr:col>2</xdr:col>
      <xdr:colOff>847725</xdr:colOff>
      <xdr:row>8</xdr:row>
      <xdr:rowOff>133350</xdr:rowOff>
    </xdr:from>
    <xdr:to>
      <xdr:col>2</xdr:col>
      <xdr:colOff>1104900</xdr:colOff>
      <xdr:row>8</xdr:row>
      <xdr:rowOff>133350</xdr:rowOff>
    </xdr:to>
    <xdr:sp macro="" textlink="">
      <xdr:nvSpPr>
        <xdr:cNvPr id="126191" name="Line 109"/>
        <xdr:cNvSpPr>
          <a:spLocks noChangeShapeType="1"/>
        </xdr:cNvSpPr>
      </xdr:nvSpPr>
      <xdr:spPr bwMode="auto">
        <a:xfrm>
          <a:off x="1990725" y="1771650"/>
          <a:ext cx="257175" cy="0"/>
        </a:xfrm>
        <a:prstGeom prst="line">
          <a:avLst/>
        </a:prstGeom>
        <a:noFill/>
        <a:ln w="9525">
          <a:solidFill>
            <a:srgbClr val="000000"/>
          </a:solidFill>
          <a:round/>
          <a:headEnd/>
          <a:tailEnd/>
        </a:ln>
      </xdr:spPr>
    </xdr:sp>
    <xdr:clientData/>
  </xdr:twoCellAnchor>
  <xdr:twoCellAnchor>
    <xdr:from>
      <xdr:col>3</xdr:col>
      <xdr:colOff>1266825</xdr:colOff>
      <xdr:row>20</xdr:row>
      <xdr:rowOff>104775</xdr:rowOff>
    </xdr:from>
    <xdr:to>
      <xdr:col>4</xdr:col>
      <xdr:colOff>0</xdr:colOff>
      <xdr:row>20</xdr:row>
      <xdr:rowOff>104775</xdr:rowOff>
    </xdr:to>
    <xdr:sp macro="" textlink="">
      <xdr:nvSpPr>
        <xdr:cNvPr id="126192" name="Line 118"/>
        <xdr:cNvSpPr>
          <a:spLocks noChangeShapeType="1"/>
        </xdr:cNvSpPr>
      </xdr:nvSpPr>
      <xdr:spPr bwMode="auto">
        <a:xfrm>
          <a:off x="3609975" y="4143375"/>
          <a:ext cx="114300" cy="0"/>
        </a:xfrm>
        <a:prstGeom prst="line">
          <a:avLst/>
        </a:prstGeom>
        <a:noFill/>
        <a:ln w="9525">
          <a:solidFill>
            <a:srgbClr val="000000"/>
          </a:solidFill>
          <a:round/>
          <a:headEnd/>
          <a:tailEnd/>
        </a:ln>
      </xdr:spPr>
    </xdr:sp>
    <xdr:clientData/>
  </xdr:twoCellAnchor>
  <xdr:twoCellAnchor>
    <xdr:from>
      <xdr:col>3</xdr:col>
      <xdr:colOff>1266825</xdr:colOff>
      <xdr:row>21</xdr:row>
      <xdr:rowOff>104775</xdr:rowOff>
    </xdr:from>
    <xdr:to>
      <xdr:col>4</xdr:col>
      <xdr:colOff>0</xdr:colOff>
      <xdr:row>21</xdr:row>
      <xdr:rowOff>104775</xdr:rowOff>
    </xdr:to>
    <xdr:sp macro="" textlink="">
      <xdr:nvSpPr>
        <xdr:cNvPr id="126193" name="Line 119"/>
        <xdr:cNvSpPr>
          <a:spLocks noChangeShapeType="1"/>
        </xdr:cNvSpPr>
      </xdr:nvSpPr>
      <xdr:spPr bwMode="auto">
        <a:xfrm>
          <a:off x="3609975" y="4343400"/>
          <a:ext cx="114300" cy="0"/>
        </a:xfrm>
        <a:prstGeom prst="line">
          <a:avLst/>
        </a:prstGeom>
        <a:noFill/>
        <a:ln w="9525">
          <a:solidFill>
            <a:srgbClr val="000000"/>
          </a:solidFill>
          <a:round/>
          <a:headEnd/>
          <a:tailEnd/>
        </a:ln>
      </xdr:spPr>
    </xdr:sp>
    <xdr:clientData/>
  </xdr:twoCellAnchor>
  <xdr:twoCellAnchor>
    <xdr:from>
      <xdr:col>3</xdr:col>
      <xdr:colOff>1276350</xdr:colOff>
      <xdr:row>22</xdr:row>
      <xdr:rowOff>114300</xdr:rowOff>
    </xdr:from>
    <xdr:to>
      <xdr:col>4</xdr:col>
      <xdr:colOff>9525</xdr:colOff>
      <xdr:row>22</xdr:row>
      <xdr:rowOff>114300</xdr:rowOff>
    </xdr:to>
    <xdr:sp macro="" textlink="">
      <xdr:nvSpPr>
        <xdr:cNvPr id="126194" name="Line 120"/>
        <xdr:cNvSpPr>
          <a:spLocks noChangeShapeType="1"/>
        </xdr:cNvSpPr>
      </xdr:nvSpPr>
      <xdr:spPr bwMode="auto">
        <a:xfrm>
          <a:off x="3619500" y="4552950"/>
          <a:ext cx="114300" cy="0"/>
        </a:xfrm>
        <a:prstGeom prst="line">
          <a:avLst/>
        </a:prstGeom>
        <a:noFill/>
        <a:ln w="9525">
          <a:solidFill>
            <a:srgbClr val="000000"/>
          </a:solidFill>
          <a:round/>
          <a:headEnd/>
          <a:tailEnd/>
        </a:ln>
      </xdr:spPr>
    </xdr:sp>
    <xdr:clientData/>
  </xdr:twoCellAnchor>
  <xdr:twoCellAnchor>
    <xdr:from>
      <xdr:col>3</xdr:col>
      <xdr:colOff>1381125</xdr:colOff>
      <xdr:row>33</xdr:row>
      <xdr:rowOff>114300</xdr:rowOff>
    </xdr:from>
    <xdr:to>
      <xdr:col>4</xdr:col>
      <xdr:colOff>9525</xdr:colOff>
      <xdr:row>33</xdr:row>
      <xdr:rowOff>114300</xdr:rowOff>
    </xdr:to>
    <xdr:sp macro="" textlink="">
      <xdr:nvSpPr>
        <xdr:cNvPr id="126195" name="Line 128"/>
        <xdr:cNvSpPr>
          <a:spLocks noChangeShapeType="1"/>
        </xdr:cNvSpPr>
      </xdr:nvSpPr>
      <xdr:spPr bwMode="auto">
        <a:xfrm>
          <a:off x="3724275" y="6715125"/>
          <a:ext cx="9525" cy="0"/>
        </a:xfrm>
        <a:prstGeom prst="line">
          <a:avLst/>
        </a:prstGeom>
        <a:noFill/>
        <a:ln w="9525">
          <a:solidFill>
            <a:srgbClr val="000000"/>
          </a:solidFill>
          <a:round/>
          <a:headEnd/>
          <a:tailEnd/>
        </a:ln>
      </xdr:spPr>
    </xdr:sp>
    <xdr:clientData/>
  </xdr:twoCellAnchor>
  <xdr:twoCellAnchor>
    <xdr:from>
      <xdr:col>3</xdr:col>
      <xdr:colOff>1371600</xdr:colOff>
      <xdr:row>32</xdr:row>
      <xdr:rowOff>104775</xdr:rowOff>
    </xdr:from>
    <xdr:to>
      <xdr:col>4</xdr:col>
      <xdr:colOff>0</xdr:colOff>
      <xdr:row>32</xdr:row>
      <xdr:rowOff>104775</xdr:rowOff>
    </xdr:to>
    <xdr:sp macro="" textlink="">
      <xdr:nvSpPr>
        <xdr:cNvPr id="126196" name="Line 129"/>
        <xdr:cNvSpPr>
          <a:spLocks noChangeShapeType="1"/>
        </xdr:cNvSpPr>
      </xdr:nvSpPr>
      <xdr:spPr bwMode="auto">
        <a:xfrm>
          <a:off x="3714750" y="6524625"/>
          <a:ext cx="9525" cy="0"/>
        </a:xfrm>
        <a:prstGeom prst="line">
          <a:avLst/>
        </a:prstGeom>
        <a:noFill/>
        <a:ln w="9525">
          <a:solidFill>
            <a:srgbClr val="000000"/>
          </a:solidFill>
          <a:round/>
          <a:headEnd/>
          <a:tailEnd/>
        </a:ln>
      </xdr:spPr>
    </xdr:sp>
    <xdr:clientData/>
  </xdr:twoCellAnchor>
  <xdr:twoCellAnchor>
    <xdr:from>
      <xdr:col>2</xdr:col>
      <xdr:colOff>857250</xdr:colOff>
      <xdr:row>12</xdr:row>
      <xdr:rowOff>114300</xdr:rowOff>
    </xdr:from>
    <xdr:to>
      <xdr:col>3</xdr:col>
      <xdr:colOff>0</xdr:colOff>
      <xdr:row>12</xdr:row>
      <xdr:rowOff>114300</xdr:rowOff>
    </xdr:to>
    <xdr:sp macro="" textlink="">
      <xdr:nvSpPr>
        <xdr:cNvPr id="126197" name="Line 130"/>
        <xdr:cNvSpPr>
          <a:spLocks noChangeShapeType="1"/>
        </xdr:cNvSpPr>
      </xdr:nvSpPr>
      <xdr:spPr bwMode="auto">
        <a:xfrm>
          <a:off x="2000250" y="2552700"/>
          <a:ext cx="342900" cy="0"/>
        </a:xfrm>
        <a:prstGeom prst="line">
          <a:avLst/>
        </a:prstGeom>
        <a:noFill/>
        <a:ln w="9525">
          <a:solidFill>
            <a:srgbClr val="000000"/>
          </a:solidFill>
          <a:round/>
          <a:headEnd/>
          <a:tailEnd/>
        </a:ln>
      </xdr:spPr>
    </xdr:sp>
    <xdr:clientData/>
  </xdr:twoCellAnchor>
  <xdr:twoCellAnchor>
    <xdr:from>
      <xdr:col>2</xdr:col>
      <xdr:colOff>857250</xdr:colOff>
      <xdr:row>13</xdr:row>
      <xdr:rowOff>123825</xdr:rowOff>
    </xdr:from>
    <xdr:to>
      <xdr:col>3</xdr:col>
      <xdr:colOff>0</xdr:colOff>
      <xdr:row>13</xdr:row>
      <xdr:rowOff>123825</xdr:rowOff>
    </xdr:to>
    <xdr:sp macro="" textlink="">
      <xdr:nvSpPr>
        <xdr:cNvPr id="126198" name="Line 131"/>
        <xdr:cNvSpPr>
          <a:spLocks noChangeShapeType="1"/>
        </xdr:cNvSpPr>
      </xdr:nvSpPr>
      <xdr:spPr bwMode="auto">
        <a:xfrm>
          <a:off x="2000250" y="2762250"/>
          <a:ext cx="342900" cy="0"/>
        </a:xfrm>
        <a:prstGeom prst="line">
          <a:avLst/>
        </a:prstGeom>
        <a:noFill/>
        <a:ln w="9525">
          <a:solidFill>
            <a:srgbClr val="000000"/>
          </a:solidFill>
          <a:round/>
          <a:headEnd/>
          <a:tailEnd/>
        </a:ln>
      </xdr:spPr>
    </xdr:sp>
    <xdr:clientData/>
  </xdr:twoCellAnchor>
  <xdr:twoCellAnchor>
    <xdr:from>
      <xdr:col>2</xdr:col>
      <xdr:colOff>866775</xdr:colOff>
      <xdr:row>14</xdr:row>
      <xdr:rowOff>95250</xdr:rowOff>
    </xdr:from>
    <xdr:to>
      <xdr:col>3</xdr:col>
      <xdr:colOff>9525</xdr:colOff>
      <xdr:row>14</xdr:row>
      <xdr:rowOff>95250</xdr:rowOff>
    </xdr:to>
    <xdr:sp macro="" textlink="">
      <xdr:nvSpPr>
        <xdr:cNvPr id="126199" name="Line 132"/>
        <xdr:cNvSpPr>
          <a:spLocks noChangeShapeType="1"/>
        </xdr:cNvSpPr>
      </xdr:nvSpPr>
      <xdr:spPr bwMode="auto">
        <a:xfrm>
          <a:off x="2009775" y="2933700"/>
          <a:ext cx="342900" cy="0"/>
        </a:xfrm>
        <a:prstGeom prst="line">
          <a:avLst/>
        </a:prstGeom>
        <a:noFill/>
        <a:ln w="9525">
          <a:solidFill>
            <a:srgbClr val="000000"/>
          </a:solidFill>
          <a:round/>
          <a:headEnd/>
          <a:tailEnd/>
        </a:ln>
      </xdr:spPr>
    </xdr:sp>
    <xdr:clientData/>
  </xdr:twoCellAnchor>
  <xdr:twoCellAnchor>
    <xdr:from>
      <xdr:col>2</xdr:col>
      <xdr:colOff>866775</xdr:colOff>
      <xdr:row>15</xdr:row>
      <xdr:rowOff>123825</xdr:rowOff>
    </xdr:from>
    <xdr:to>
      <xdr:col>3</xdr:col>
      <xdr:colOff>9525</xdr:colOff>
      <xdr:row>15</xdr:row>
      <xdr:rowOff>123825</xdr:rowOff>
    </xdr:to>
    <xdr:sp macro="" textlink="">
      <xdr:nvSpPr>
        <xdr:cNvPr id="126200" name="Line 133"/>
        <xdr:cNvSpPr>
          <a:spLocks noChangeShapeType="1"/>
        </xdr:cNvSpPr>
      </xdr:nvSpPr>
      <xdr:spPr bwMode="auto">
        <a:xfrm>
          <a:off x="2009775" y="3162300"/>
          <a:ext cx="342900" cy="0"/>
        </a:xfrm>
        <a:prstGeom prst="line">
          <a:avLst/>
        </a:prstGeom>
        <a:noFill/>
        <a:ln w="9525">
          <a:solidFill>
            <a:srgbClr val="000000"/>
          </a:solidFill>
          <a:round/>
          <a:headEnd/>
          <a:tailEnd/>
        </a:ln>
      </xdr:spPr>
    </xdr:sp>
    <xdr:clientData/>
  </xdr:twoCellAnchor>
  <xdr:twoCellAnchor>
    <xdr:from>
      <xdr:col>2</xdr:col>
      <xdr:colOff>876300</xdr:colOff>
      <xdr:row>16</xdr:row>
      <xdr:rowOff>104775</xdr:rowOff>
    </xdr:from>
    <xdr:to>
      <xdr:col>3</xdr:col>
      <xdr:colOff>19050</xdr:colOff>
      <xdr:row>16</xdr:row>
      <xdr:rowOff>104775</xdr:rowOff>
    </xdr:to>
    <xdr:sp macro="" textlink="">
      <xdr:nvSpPr>
        <xdr:cNvPr id="126201" name="Line 134"/>
        <xdr:cNvSpPr>
          <a:spLocks noChangeShapeType="1"/>
        </xdr:cNvSpPr>
      </xdr:nvSpPr>
      <xdr:spPr bwMode="auto">
        <a:xfrm>
          <a:off x="2019300" y="3343275"/>
          <a:ext cx="342900" cy="0"/>
        </a:xfrm>
        <a:prstGeom prst="line">
          <a:avLst/>
        </a:prstGeom>
        <a:noFill/>
        <a:ln w="9525">
          <a:solidFill>
            <a:srgbClr val="000000"/>
          </a:solidFill>
          <a:round/>
          <a:headEnd/>
          <a:tailEnd/>
        </a:ln>
      </xdr:spPr>
    </xdr:sp>
    <xdr:clientData/>
  </xdr:twoCellAnchor>
  <xdr:twoCellAnchor>
    <xdr:from>
      <xdr:col>2</xdr:col>
      <xdr:colOff>866775</xdr:colOff>
      <xdr:row>25</xdr:row>
      <xdr:rowOff>95250</xdr:rowOff>
    </xdr:from>
    <xdr:to>
      <xdr:col>2</xdr:col>
      <xdr:colOff>1190625</xdr:colOff>
      <xdr:row>25</xdr:row>
      <xdr:rowOff>95250</xdr:rowOff>
    </xdr:to>
    <xdr:sp macro="" textlink="">
      <xdr:nvSpPr>
        <xdr:cNvPr id="126202" name="Line 135"/>
        <xdr:cNvSpPr>
          <a:spLocks noChangeShapeType="1"/>
        </xdr:cNvSpPr>
      </xdr:nvSpPr>
      <xdr:spPr bwMode="auto">
        <a:xfrm>
          <a:off x="2009775" y="5133975"/>
          <a:ext cx="323850" cy="0"/>
        </a:xfrm>
        <a:prstGeom prst="line">
          <a:avLst/>
        </a:prstGeom>
        <a:noFill/>
        <a:ln w="9525">
          <a:solidFill>
            <a:srgbClr val="000000"/>
          </a:solidFill>
          <a:round/>
          <a:headEnd/>
          <a:tailEnd/>
        </a:ln>
      </xdr:spPr>
    </xdr:sp>
    <xdr:clientData/>
  </xdr:twoCellAnchor>
  <xdr:twoCellAnchor>
    <xdr:from>
      <xdr:col>2</xdr:col>
      <xdr:colOff>857250</xdr:colOff>
      <xdr:row>30</xdr:row>
      <xdr:rowOff>114300</xdr:rowOff>
    </xdr:from>
    <xdr:to>
      <xdr:col>2</xdr:col>
      <xdr:colOff>1181100</xdr:colOff>
      <xdr:row>30</xdr:row>
      <xdr:rowOff>114300</xdr:rowOff>
    </xdr:to>
    <xdr:sp macro="" textlink="">
      <xdr:nvSpPr>
        <xdr:cNvPr id="126203" name="Line 136"/>
        <xdr:cNvSpPr>
          <a:spLocks noChangeShapeType="1"/>
        </xdr:cNvSpPr>
      </xdr:nvSpPr>
      <xdr:spPr bwMode="auto">
        <a:xfrm>
          <a:off x="2000250" y="6153150"/>
          <a:ext cx="323850" cy="0"/>
        </a:xfrm>
        <a:prstGeom prst="line">
          <a:avLst/>
        </a:prstGeom>
        <a:noFill/>
        <a:ln w="9525">
          <a:solidFill>
            <a:srgbClr val="000000"/>
          </a:solidFill>
          <a:round/>
          <a:headEnd/>
          <a:tailEnd/>
        </a:ln>
      </xdr:spPr>
    </xdr:sp>
    <xdr:clientData/>
  </xdr:twoCellAnchor>
  <xdr:twoCellAnchor>
    <xdr:from>
      <xdr:col>2</xdr:col>
      <xdr:colOff>857250</xdr:colOff>
      <xdr:row>31</xdr:row>
      <xdr:rowOff>104775</xdr:rowOff>
    </xdr:from>
    <xdr:to>
      <xdr:col>2</xdr:col>
      <xdr:colOff>1181100</xdr:colOff>
      <xdr:row>31</xdr:row>
      <xdr:rowOff>104775</xdr:rowOff>
    </xdr:to>
    <xdr:sp macro="" textlink="">
      <xdr:nvSpPr>
        <xdr:cNvPr id="126204" name="Line 137"/>
        <xdr:cNvSpPr>
          <a:spLocks noChangeShapeType="1"/>
        </xdr:cNvSpPr>
      </xdr:nvSpPr>
      <xdr:spPr bwMode="auto">
        <a:xfrm>
          <a:off x="2000250" y="6343650"/>
          <a:ext cx="323850" cy="0"/>
        </a:xfrm>
        <a:prstGeom prst="line">
          <a:avLst/>
        </a:prstGeom>
        <a:noFill/>
        <a:ln w="9525">
          <a:solidFill>
            <a:srgbClr val="000000"/>
          </a:solidFill>
          <a:round/>
          <a:headEnd/>
          <a:tailEnd/>
        </a:ln>
      </xdr:spPr>
    </xdr:sp>
    <xdr:clientData/>
  </xdr:twoCellAnchor>
  <xdr:twoCellAnchor>
    <xdr:from>
      <xdr:col>2</xdr:col>
      <xdr:colOff>857250</xdr:colOff>
      <xdr:row>32</xdr:row>
      <xdr:rowOff>95250</xdr:rowOff>
    </xdr:from>
    <xdr:to>
      <xdr:col>2</xdr:col>
      <xdr:colOff>1181100</xdr:colOff>
      <xdr:row>32</xdr:row>
      <xdr:rowOff>95250</xdr:rowOff>
    </xdr:to>
    <xdr:sp macro="" textlink="">
      <xdr:nvSpPr>
        <xdr:cNvPr id="126205" name="Line 138"/>
        <xdr:cNvSpPr>
          <a:spLocks noChangeShapeType="1"/>
        </xdr:cNvSpPr>
      </xdr:nvSpPr>
      <xdr:spPr bwMode="auto">
        <a:xfrm>
          <a:off x="2000250" y="6515100"/>
          <a:ext cx="323850" cy="0"/>
        </a:xfrm>
        <a:prstGeom prst="line">
          <a:avLst/>
        </a:prstGeom>
        <a:noFill/>
        <a:ln w="9525">
          <a:solidFill>
            <a:srgbClr val="000000"/>
          </a:solidFill>
          <a:round/>
          <a:headEnd/>
          <a:tailEnd/>
        </a:ln>
      </xdr:spPr>
    </xdr:sp>
    <xdr:clientData/>
  </xdr:twoCellAnchor>
  <xdr:twoCellAnchor>
    <xdr:from>
      <xdr:col>2</xdr:col>
      <xdr:colOff>847725</xdr:colOff>
      <xdr:row>33</xdr:row>
      <xdr:rowOff>95250</xdr:rowOff>
    </xdr:from>
    <xdr:to>
      <xdr:col>2</xdr:col>
      <xdr:colOff>1171575</xdr:colOff>
      <xdr:row>33</xdr:row>
      <xdr:rowOff>95250</xdr:rowOff>
    </xdr:to>
    <xdr:sp macro="" textlink="">
      <xdr:nvSpPr>
        <xdr:cNvPr id="126206" name="Line 139"/>
        <xdr:cNvSpPr>
          <a:spLocks noChangeShapeType="1"/>
        </xdr:cNvSpPr>
      </xdr:nvSpPr>
      <xdr:spPr bwMode="auto">
        <a:xfrm>
          <a:off x="1990725" y="6696075"/>
          <a:ext cx="323850" cy="0"/>
        </a:xfrm>
        <a:prstGeom prst="line">
          <a:avLst/>
        </a:prstGeom>
        <a:noFill/>
        <a:ln w="9525">
          <a:solidFill>
            <a:srgbClr val="000000"/>
          </a:solidFill>
          <a:round/>
          <a:headEnd/>
          <a:tailEnd/>
        </a:ln>
      </xdr:spPr>
    </xdr:sp>
    <xdr:clientData/>
  </xdr:twoCellAnchor>
  <xdr:twoCellAnchor>
    <xdr:from>
      <xdr:col>2</xdr:col>
      <xdr:colOff>600075</xdr:colOff>
      <xdr:row>34</xdr:row>
      <xdr:rowOff>104775</xdr:rowOff>
    </xdr:from>
    <xdr:to>
      <xdr:col>3</xdr:col>
      <xdr:colOff>19050</xdr:colOff>
      <xdr:row>34</xdr:row>
      <xdr:rowOff>104775</xdr:rowOff>
    </xdr:to>
    <xdr:sp macro="" textlink="">
      <xdr:nvSpPr>
        <xdr:cNvPr id="126207" name="Line 140"/>
        <xdr:cNvSpPr>
          <a:spLocks noChangeShapeType="1"/>
        </xdr:cNvSpPr>
      </xdr:nvSpPr>
      <xdr:spPr bwMode="auto">
        <a:xfrm>
          <a:off x="1743075" y="6886575"/>
          <a:ext cx="619125" cy="0"/>
        </a:xfrm>
        <a:prstGeom prst="line">
          <a:avLst/>
        </a:prstGeom>
        <a:noFill/>
        <a:ln w="9525">
          <a:solidFill>
            <a:srgbClr val="000000"/>
          </a:solidFill>
          <a:round/>
          <a:headEnd/>
          <a:tailEnd/>
        </a:ln>
      </xdr:spPr>
    </xdr:sp>
    <xdr:clientData/>
  </xdr:twoCellAnchor>
  <xdr:twoCellAnchor>
    <xdr:from>
      <xdr:col>3</xdr:col>
      <xdr:colOff>1143000</xdr:colOff>
      <xdr:row>35</xdr:row>
      <xdr:rowOff>123825</xdr:rowOff>
    </xdr:from>
    <xdr:to>
      <xdr:col>3</xdr:col>
      <xdr:colOff>1352550</xdr:colOff>
      <xdr:row>35</xdr:row>
      <xdr:rowOff>123825</xdr:rowOff>
    </xdr:to>
    <xdr:sp macro="" textlink="">
      <xdr:nvSpPr>
        <xdr:cNvPr id="126208" name="Line 141"/>
        <xdr:cNvSpPr>
          <a:spLocks noChangeShapeType="1"/>
        </xdr:cNvSpPr>
      </xdr:nvSpPr>
      <xdr:spPr bwMode="auto">
        <a:xfrm flipV="1">
          <a:off x="3486150" y="7105650"/>
          <a:ext cx="209550" cy="0"/>
        </a:xfrm>
        <a:prstGeom prst="line">
          <a:avLst/>
        </a:prstGeom>
        <a:noFill/>
        <a:ln w="9525">
          <a:solidFill>
            <a:srgbClr val="000000"/>
          </a:solidFill>
          <a:round/>
          <a:headEnd/>
          <a:tailEnd/>
        </a:ln>
      </xdr:spPr>
    </xdr:sp>
    <xdr:clientData/>
  </xdr:twoCellAnchor>
  <xdr:twoCellAnchor>
    <xdr:from>
      <xdr:col>3</xdr:col>
      <xdr:colOff>1133475</xdr:colOff>
      <xdr:row>36</xdr:row>
      <xdr:rowOff>114300</xdr:rowOff>
    </xdr:from>
    <xdr:to>
      <xdr:col>3</xdr:col>
      <xdr:colOff>1343025</xdr:colOff>
      <xdr:row>36</xdr:row>
      <xdr:rowOff>114300</xdr:rowOff>
    </xdr:to>
    <xdr:sp macro="" textlink="">
      <xdr:nvSpPr>
        <xdr:cNvPr id="126209" name="Line 142"/>
        <xdr:cNvSpPr>
          <a:spLocks noChangeShapeType="1"/>
        </xdr:cNvSpPr>
      </xdr:nvSpPr>
      <xdr:spPr bwMode="auto">
        <a:xfrm flipV="1">
          <a:off x="3476625" y="7296150"/>
          <a:ext cx="209550" cy="0"/>
        </a:xfrm>
        <a:prstGeom prst="line">
          <a:avLst/>
        </a:prstGeom>
        <a:noFill/>
        <a:ln w="9525">
          <a:solidFill>
            <a:srgbClr val="000000"/>
          </a:solidFill>
          <a:round/>
          <a:headEnd/>
          <a:tailEnd/>
        </a:ln>
      </xdr:spPr>
    </xdr:sp>
    <xdr:clientData/>
  </xdr:twoCellAnchor>
  <xdr:twoCellAnchor>
    <xdr:from>
      <xdr:col>3</xdr:col>
      <xdr:colOff>1143000</xdr:colOff>
      <xdr:row>37</xdr:row>
      <xdr:rowOff>104775</xdr:rowOff>
    </xdr:from>
    <xdr:to>
      <xdr:col>3</xdr:col>
      <xdr:colOff>1352550</xdr:colOff>
      <xdr:row>37</xdr:row>
      <xdr:rowOff>104775</xdr:rowOff>
    </xdr:to>
    <xdr:sp macro="" textlink="">
      <xdr:nvSpPr>
        <xdr:cNvPr id="126210" name="Line 143"/>
        <xdr:cNvSpPr>
          <a:spLocks noChangeShapeType="1"/>
        </xdr:cNvSpPr>
      </xdr:nvSpPr>
      <xdr:spPr bwMode="auto">
        <a:xfrm flipV="1">
          <a:off x="3486150" y="7486650"/>
          <a:ext cx="209550" cy="0"/>
        </a:xfrm>
        <a:prstGeom prst="line">
          <a:avLst/>
        </a:prstGeom>
        <a:noFill/>
        <a:ln w="9525">
          <a:solidFill>
            <a:srgbClr val="000000"/>
          </a:solidFill>
          <a:round/>
          <a:headEnd/>
          <a:tailEnd/>
        </a:ln>
      </xdr:spPr>
    </xdr:sp>
    <xdr:clientData/>
  </xdr:twoCellAnchor>
  <xdr:twoCellAnchor>
    <xdr:from>
      <xdr:col>3</xdr:col>
      <xdr:colOff>1143000</xdr:colOff>
      <xdr:row>38</xdr:row>
      <xdr:rowOff>104775</xdr:rowOff>
    </xdr:from>
    <xdr:to>
      <xdr:col>3</xdr:col>
      <xdr:colOff>1352550</xdr:colOff>
      <xdr:row>38</xdr:row>
      <xdr:rowOff>104775</xdr:rowOff>
    </xdr:to>
    <xdr:sp macro="" textlink="">
      <xdr:nvSpPr>
        <xdr:cNvPr id="126211" name="Line 144"/>
        <xdr:cNvSpPr>
          <a:spLocks noChangeShapeType="1"/>
        </xdr:cNvSpPr>
      </xdr:nvSpPr>
      <xdr:spPr bwMode="auto">
        <a:xfrm flipV="1">
          <a:off x="3486150" y="7686675"/>
          <a:ext cx="209550" cy="0"/>
        </a:xfrm>
        <a:prstGeom prst="line">
          <a:avLst/>
        </a:prstGeom>
        <a:noFill/>
        <a:ln w="9525">
          <a:solidFill>
            <a:srgbClr val="000000"/>
          </a:solidFill>
          <a:round/>
          <a:headEnd/>
          <a:tailEnd/>
        </a:ln>
      </xdr:spPr>
    </xdr:sp>
    <xdr:clientData/>
  </xdr:twoCellAnchor>
  <xdr:twoCellAnchor>
    <xdr:from>
      <xdr:col>3</xdr:col>
      <xdr:colOff>1143000</xdr:colOff>
      <xdr:row>39</xdr:row>
      <xdr:rowOff>104775</xdr:rowOff>
    </xdr:from>
    <xdr:to>
      <xdr:col>3</xdr:col>
      <xdr:colOff>1352550</xdr:colOff>
      <xdr:row>39</xdr:row>
      <xdr:rowOff>104775</xdr:rowOff>
    </xdr:to>
    <xdr:sp macro="" textlink="">
      <xdr:nvSpPr>
        <xdr:cNvPr id="126212" name="Line 145"/>
        <xdr:cNvSpPr>
          <a:spLocks noChangeShapeType="1"/>
        </xdr:cNvSpPr>
      </xdr:nvSpPr>
      <xdr:spPr bwMode="auto">
        <a:xfrm flipV="1">
          <a:off x="3486150" y="7886700"/>
          <a:ext cx="209550" cy="0"/>
        </a:xfrm>
        <a:prstGeom prst="line">
          <a:avLst/>
        </a:prstGeom>
        <a:noFill/>
        <a:ln w="9525">
          <a:solidFill>
            <a:srgbClr val="000000"/>
          </a:solidFill>
          <a:round/>
          <a:headEnd/>
          <a:tailEnd/>
        </a:ln>
      </xdr:spPr>
    </xdr:sp>
    <xdr:clientData/>
  </xdr:twoCellAnchor>
  <xdr:twoCellAnchor>
    <xdr:from>
      <xdr:col>3</xdr:col>
      <xdr:colOff>1143000</xdr:colOff>
      <xdr:row>40</xdr:row>
      <xdr:rowOff>152400</xdr:rowOff>
    </xdr:from>
    <xdr:to>
      <xdr:col>3</xdr:col>
      <xdr:colOff>1352550</xdr:colOff>
      <xdr:row>40</xdr:row>
      <xdr:rowOff>152400</xdr:rowOff>
    </xdr:to>
    <xdr:sp macro="" textlink="">
      <xdr:nvSpPr>
        <xdr:cNvPr id="126213" name="Line 146"/>
        <xdr:cNvSpPr>
          <a:spLocks noChangeShapeType="1"/>
        </xdr:cNvSpPr>
      </xdr:nvSpPr>
      <xdr:spPr bwMode="auto">
        <a:xfrm flipV="1">
          <a:off x="3486150" y="8134350"/>
          <a:ext cx="209550" cy="0"/>
        </a:xfrm>
        <a:prstGeom prst="line">
          <a:avLst/>
        </a:prstGeom>
        <a:noFill/>
        <a:ln w="9525">
          <a:solidFill>
            <a:srgbClr val="000000"/>
          </a:solidFill>
          <a:round/>
          <a:headEnd/>
          <a:tailEnd/>
        </a:ln>
      </xdr:spPr>
    </xdr:sp>
    <xdr:clientData/>
  </xdr:twoCellAnchor>
  <xdr:twoCellAnchor>
    <xdr:from>
      <xdr:col>3</xdr:col>
      <xdr:colOff>1123950</xdr:colOff>
      <xdr:row>41</xdr:row>
      <xdr:rowOff>114300</xdr:rowOff>
    </xdr:from>
    <xdr:to>
      <xdr:col>3</xdr:col>
      <xdr:colOff>1133475</xdr:colOff>
      <xdr:row>42</xdr:row>
      <xdr:rowOff>85725</xdr:rowOff>
    </xdr:to>
    <xdr:sp macro="" textlink="">
      <xdr:nvSpPr>
        <xdr:cNvPr id="126214" name="Line 147"/>
        <xdr:cNvSpPr>
          <a:spLocks noChangeShapeType="1"/>
        </xdr:cNvSpPr>
      </xdr:nvSpPr>
      <xdr:spPr bwMode="auto">
        <a:xfrm flipH="1">
          <a:off x="3467100" y="8296275"/>
          <a:ext cx="9525" cy="171450"/>
        </a:xfrm>
        <a:prstGeom prst="line">
          <a:avLst/>
        </a:prstGeom>
        <a:noFill/>
        <a:ln w="9525">
          <a:solidFill>
            <a:srgbClr val="000000"/>
          </a:solidFill>
          <a:round/>
          <a:headEnd/>
          <a:tailEnd/>
        </a:ln>
      </xdr:spPr>
    </xdr:sp>
    <xdr:clientData/>
  </xdr:twoCellAnchor>
  <xdr:twoCellAnchor>
    <xdr:from>
      <xdr:col>2</xdr:col>
      <xdr:colOff>885825</xdr:colOff>
      <xdr:row>46</xdr:row>
      <xdr:rowOff>85725</xdr:rowOff>
    </xdr:from>
    <xdr:to>
      <xdr:col>3</xdr:col>
      <xdr:colOff>9525</xdr:colOff>
      <xdr:row>46</xdr:row>
      <xdr:rowOff>85725</xdr:rowOff>
    </xdr:to>
    <xdr:sp macro="" textlink="">
      <xdr:nvSpPr>
        <xdr:cNvPr id="126215" name="Line 148"/>
        <xdr:cNvSpPr>
          <a:spLocks noChangeShapeType="1"/>
        </xdr:cNvSpPr>
      </xdr:nvSpPr>
      <xdr:spPr bwMode="auto">
        <a:xfrm>
          <a:off x="2028825" y="9267825"/>
          <a:ext cx="323850" cy="0"/>
        </a:xfrm>
        <a:prstGeom prst="line">
          <a:avLst/>
        </a:prstGeom>
        <a:noFill/>
        <a:ln w="9525">
          <a:solidFill>
            <a:srgbClr val="000000"/>
          </a:solidFill>
          <a:round/>
          <a:headEnd/>
          <a:tailEnd/>
        </a:ln>
      </xdr:spPr>
    </xdr:sp>
    <xdr:clientData/>
  </xdr:twoCellAnchor>
  <xdr:twoCellAnchor>
    <xdr:from>
      <xdr:col>3</xdr:col>
      <xdr:colOff>514350</xdr:colOff>
      <xdr:row>47</xdr:row>
      <xdr:rowOff>123825</xdr:rowOff>
    </xdr:from>
    <xdr:to>
      <xdr:col>4</xdr:col>
      <xdr:colOff>28575</xdr:colOff>
      <xdr:row>47</xdr:row>
      <xdr:rowOff>123825</xdr:rowOff>
    </xdr:to>
    <xdr:sp macro="" textlink="">
      <xdr:nvSpPr>
        <xdr:cNvPr id="126216" name="Line 157"/>
        <xdr:cNvSpPr>
          <a:spLocks noChangeShapeType="1"/>
        </xdr:cNvSpPr>
      </xdr:nvSpPr>
      <xdr:spPr bwMode="auto">
        <a:xfrm>
          <a:off x="2857500" y="9505950"/>
          <a:ext cx="895350" cy="0"/>
        </a:xfrm>
        <a:prstGeom prst="line">
          <a:avLst/>
        </a:prstGeom>
        <a:noFill/>
        <a:ln w="9525">
          <a:solidFill>
            <a:srgbClr val="000000"/>
          </a:solidFill>
          <a:round/>
          <a:headEnd/>
          <a:tailEnd/>
        </a:ln>
      </xdr:spPr>
    </xdr:sp>
    <xdr:clientData/>
  </xdr:twoCellAnchor>
  <xdr:twoCellAnchor>
    <xdr:from>
      <xdr:col>2</xdr:col>
      <xdr:colOff>590550</xdr:colOff>
      <xdr:row>47</xdr:row>
      <xdr:rowOff>104775</xdr:rowOff>
    </xdr:from>
    <xdr:to>
      <xdr:col>3</xdr:col>
      <xdr:colOff>9525</xdr:colOff>
      <xdr:row>47</xdr:row>
      <xdr:rowOff>104775</xdr:rowOff>
    </xdr:to>
    <xdr:sp macro="" textlink="">
      <xdr:nvSpPr>
        <xdr:cNvPr id="126217" name="Line 158"/>
        <xdr:cNvSpPr>
          <a:spLocks noChangeShapeType="1"/>
        </xdr:cNvSpPr>
      </xdr:nvSpPr>
      <xdr:spPr bwMode="auto">
        <a:xfrm>
          <a:off x="1733550" y="9486900"/>
          <a:ext cx="619125" cy="0"/>
        </a:xfrm>
        <a:prstGeom prst="line">
          <a:avLst/>
        </a:prstGeom>
        <a:noFill/>
        <a:ln w="9525">
          <a:solidFill>
            <a:srgbClr val="000000"/>
          </a:solidFill>
          <a:round/>
          <a:headEnd/>
          <a:tailEnd/>
        </a:ln>
      </xdr:spPr>
    </xdr:sp>
    <xdr:clientData/>
  </xdr:twoCellAnchor>
  <xdr:twoCellAnchor>
    <xdr:from>
      <xdr:col>3</xdr:col>
      <xdr:colOff>1171575</xdr:colOff>
      <xdr:row>48</xdr:row>
      <xdr:rowOff>123825</xdr:rowOff>
    </xdr:from>
    <xdr:to>
      <xdr:col>4</xdr:col>
      <xdr:colOff>0</xdr:colOff>
      <xdr:row>48</xdr:row>
      <xdr:rowOff>123825</xdr:rowOff>
    </xdr:to>
    <xdr:sp macro="" textlink="">
      <xdr:nvSpPr>
        <xdr:cNvPr id="126218" name="Line 159"/>
        <xdr:cNvSpPr>
          <a:spLocks noChangeShapeType="1"/>
        </xdr:cNvSpPr>
      </xdr:nvSpPr>
      <xdr:spPr bwMode="auto">
        <a:xfrm flipV="1">
          <a:off x="3514725" y="9705975"/>
          <a:ext cx="209550" cy="0"/>
        </a:xfrm>
        <a:prstGeom prst="line">
          <a:avLst/>
        </a:prstGeom>
        <a:noFill/>
        <a:ln w="9525">
          <a:solidFill>
            <a:srgbClr val="000000"/>
          </a:solidFill>
          <a:round/>
          <a:headEnd/>
          <a:tailEnd/>
        </a:ln>
      </xdr:spPr>
    </xdr:sp>
    <xdr:clientData/>
  </xdr:twoCellAnchor>
  <xdr:twoCellAnchor>
    <xdr:from>
      <xdr:col>2</xdr:col>
      <xdr:colOff>885825</xdr:colOff>
      <xdr:row>47</xdr:row>
      <xdr:rowOff>123825</xdr:rowOff>
    </xdr:from>
    <xdr:to>
      <xdr:col>2</xdr:col>
      <xdr:colOff>885825</xdr:colOff>
      <xdr:row>50</xdr:row>
      <xdr:rowOff>85725</xdr:rowOff>
    </xdr:to>
    <xdr:sp macro="" textlink="">
      <xdr:nvSpPr>
        <xdr:cNvPr id="126219" name="Line 162"/>
        <xdr:cNvSpPr>
          <a:spLocks noChangeShapeType="1"/>
        </xdr:cNvSpPr>
      </xdr:nvSpPr>
      <xdr:spPr bwMode="auto">
        <a:xfrm flipH="1">
          <a:off x="2028825" y="9505950"/>
          <a:ext cx="0" cy="561975"/>
        </a:xfrm>
        <a:prstGeom prst="line">
          <a:avLst/>
        </a:prstGeom>
        <a:noFill/>
        <a:ln w="9525">
          <a:solidFill>
            <a:srgbClr val="000000"/>
          </a:solidFill>
          <a:round/>
          <a:headEnd/>
          <a:tailEnd/>
        </a:ln>
      </xdr:spPr>
    </xdr:sp>
    <xdr:clientData/>
  </xdr:twoCellAnchor>
  <xdr:twoCellAnchor>
    <xdr:from>
      <xdr:col>2</xdr:col>
      <xdr:colOff>895350</xdr:colOff>
      <xdr:row>50</xdr:row>
      <xdr:rowOff>85725</xdr:rowOff>
    </xdr:from>
    <xdr:to>
      <xdr:col>3</xdr:col>
      <xdr:colOff>19050</xdr:colOff>
      <xdr:row>50</xdr:row>
      <xdr:rowOff>85725</xdr:rowOff>
    </xdr:to>
    <xdr:sp macro="" textlink="">
      <xdr:nvSpPr>
        <xdr:cNvPr id="126220" name="Line 163"/>
        <xdr:cNvSpPr>
          <a:spLocks noChangeShapeType="1"/>
        </xdr:cNvSpPr>
      </xdr:nvSpPr>
      <xdr:spPr bwMode="auto">
        <a:xfrm>
          <a:off x="2038350" y="10067925"/>
          <a:ext cx="323850" cy="0"/>
        </a:xfrm>
        <a:prstGeom prst="line">
          <a:avLst/>
        </a:prstGeom>
        <a:noFill/>
        <a:ln w="9525">
          <a:solidFill>
            <a:srgbClr val="000000"/>
          </a:solidFill>
          <a:round/>
          <a:headEnd/>
          <a:tailEnd/>
        </a:ln>
      </xdr:spPr>
    </xdr:sp>
    <xdr:clientData/>
  </xdr:twoCellAnchor>
  <xdr:twoCellAnchor>
    <xdr:from>
      <xdr:col>2</xdr:col>
      <xdr:colOff>895350</xdr:colOff>
      <xdr:row>49</xdr:row>
      <xdr:rowOff>104775</xdr:rowOff>
    </xdr:from>
    <xdr:to>
      <xdr:col>3</xdr:col>
      <xdr:colOff>19050</xdr:colOff>
      <xdr:row>49</xdr:row>
      <xdr:rowOff>104775</xdr:rowOff>
    </xdr:to>
    <xdr:sp macro="" textlink="">
      <xdr:nvSpPr>
        <xdr:cNvPr id="126221" name="Line 164"/>
        <xdr:cNvSpPr>
          <a:spLocks noChangeShapeType="1"/>
        </xdr:cNvSpPr>
      </xdr:nvSpPr>
      <xdr:spPr bwMode="auto">
        <a:xfrm>
          <a:off x="2038350" y="9886950"/>
          <a:ext cx="323850" cy="0"/>
        </a:xfrm>
        <a:prstGeom prst="line">
          <a:avLst/>
        </a:prstGeom>
        <a:noFill/>
        <a:ln w="9525">
          <a:solidFill>
            <a:srgbClr val="000000"/>
          </a:solidFill>
          <a:round/>
          <a:headEnd/>
          <a:tailEnd/>
        </a:ln>
      </xdr:spPr>
    </xdr:sp>
    <xdr:clientData/>
  </xdr:twoCellAnchor>
  <xdr:twoCellAnchor>
    <xdr:from>
      <xdr:col>3</xdr:col>
      <xdr:colOff>1162050</xdr:colOff>
      <xdr:row>47</xdr:row>
      <xdr:rowOff>161925</xdr:rowOff>
    </xdr:from>
    <xdr:to>
      <xdr:col>3</xdr:col>
      <xdr:colOff>1171575</xdr:colOff>
      <xdr:row>48</xdr:row>
      <xdr:rowOff>133350</xdr:rowOff>
    </xdr:to>
    <xdr:sp macro="" textlink="">
      <xdr:nvSpPr>
        <xdr:cNvPr id="126222" name="Line 165"/>
        <xdr:cNvSpPr>
          <a:spLocks noChangeShapeType="1"/>
        </xdr:cNvSpPr>
      </xdr:nvSpPr>
      <xdr:spPr bwMode="auto">
        <a:xfrm flipH="1">
          <a:off x="3505200" y="9544050"/>
          <a:ext cx="9525" cy="171450"/>
        </a:xfrm>
        <a:prstGeom prst="line">
          <a:avLst/>
        </a:prstGeom>
        <a:noFill/>
        <a:ln w="9525">
          <a:solidFill>
            <a:srgbClr val="000000"/>
          </a:solidFill>
          <a:round/>
          <a:headEnd/>
          <a:tailEnd/>
        </a:ln>
      </xdr:spPr>
    </xdr:sp>
    <xdr:clientData/>
  </xdr:twoCellAnchor>
  <xdr:twoCellAnchor>
    <xdr:from>
      <xdr:col>2</xdr:col>
      <xdr:colOff>590550</xdr:colOff>
      <xdr:row>51</xdr:row>
      <xdr:rowOff>104775</xdr:rowOff>
    </xdr:from>
    <xdr:to>
      <xdr:col>3</xdr:col>
      <xdr:colOff>9525</xdr:colOff>
      <xdr:row>51</xdr:row>
      <xdr:rowOff>104775</xdr:rowOff>
    </xdr:to>
    <xdr:sp macro="" textlink="">
      <xdr:nvSpPr>
        <xdr:cNvPr id="126223" name="Line 166"/>
        <xdr:cNvSpPr>
          <a:spLocks noChangeShapeType="1"/>
        </xdr:cNvSpPr>
      </xdr:nvSpPr>
      <xdr:spPr bwMode="auto">
        <a:xfrm>
          <a:off x="1733550" y="10287000"/>
          <a:ext cx="619125" cy="0"/>
        </a:xfrm>
        <a:prstGeom prst="line">
          <a:avLst/>
        </a:prstGeom>
        <a:noFill/>
        <a:ln w="9525">
          <a:solidFill>
            <a:srgbClr val="000000"/>
          </a:solidFill>
          <a:round/>
          <a:headEnd/>
          <a:tailEnd/>
        </a:ln>
      </xdr:spPr>
    </xdr:sp>
    <xdr:clientData/>
  </xdr:twoCellAnchor>
  <xdr:twoCellAnchor>
    <xdr:from>
      <xdr:col>2</xdr:col>
      <xdr:colOff>885825</xdr:colOff>
      <xdr:row>51</xdr:row>
      <xdr:rowOff>123825</xdr:rowOff>
    </xdr:from>
    <xdr:to>
      <xdr:col>2</xdr:col>
      <xdr:colOff>885825</xdr:colOff>
      <xdr:row>53</xdr:row>
      <xdr:rowOff>104775</xdr:rowOff>
    </xdr:to>
    <xdr:sp macro="" textlink="">
      <xdr:nvSpPr>
        <xdr:cNvPr id="126224" name="Line 167"/>
        <xdr:cNvSpPr>
          <a:spLocks noChangeShapeType="1"/>
        </xdr:cNvSpPr>
      </xdr:nvSpPr>
      <xdr:spPr bwMode="auto">
        <a:xfrm flipH="1">
          <a:off x="2028825" y="10306050"/>
          <a:ext cx="0" cy="381000"/>
        </a:xfrm>
        <a:prstGeom prst="line">
          <a:avLst/>
        </a:prstGeom>
        <a:noFill/>
        <a:ln w="9525">
          <a:solidFill>
            <a:srgbClr val="000000"/>
          </a:solidFill>
          <a:round/>
          <a:headEnd/>
          <a:tailEnd/>
        </a:ln>
      </xdr:spPr>
    </xdr:sp>
    <xdr:clientData/>
  </xdr:twoCellAnchor>
  <xdr:twoCellAnchor>
    <xdr:from>
      <xdr:col>2</xdr:col>
      <xdr:colOff>885825</xdr:colOff>
      <xdr:row>52</xdr:row>
      <xdr:rowOff>123825</xdr:rowOff>
    </xdr:from>
    <xdr:to>
      <xdr:col>3</xdr:col>
      <xdr:colOff>9525</xdr:colOff>
      <xdr:row>52</xdr:row>
      <xdr:rowOff>123825</xdr:rowOff>
    </xdr:to>
    <xdr:sp macro="" textlink="">
      <xdr:nvSpPr>
        <xdr:cNvPr id="126225" name="Line 168"/>
        <xdr:cNvSpPr>
          <a:spLocks noChangeShapeType="1"/>
        </xdr:cNvSpPr>
      </xdr:nvSpPr>
      <xdr:spPr bwMode="auto">
        <a:xfrm>
          <a:off x="2028825" y="10506075"/>
          <a:ext cx="323850" cy="0"/>
        </a:xfrm>
        <a:prstGeom prst="line">
          <a:avLst/>
        </a:prstGeom>
        <a:noFill/>
        <a:ln w="9525">
          <a:solidFill>
            <a:srgbClr val="000000"/>
          </a:solidFill>
          <a:round/>
          <a:headEnd/>
          <a:tailEnd/>
        </a:ln>
      </xdr:spPr>
    </xdr:sp>
    <xdr:clientData/>
  </xdr:twoCellAnchor>
  <xdr:twoCellAnchor>
    <xdr:from>
      <xdr:col>2</xdr:col>
      <xdr:colOff>895350</xdr:colOff>
      <xdr:row>53</xdr:row>
      <xdr:rowOff>114300</xdr:rowOff>
    </xdr:from>
    <xdr:to>
      <xdr:col>3</xdr:col>
      <xdr:colOff>19050</xdr:colOff>
      <xdr:row>53</xdr:row>
      <xdr:rowOff>114300</xdr:rowOff>
    </xdr:to>
    <xdr:sp macro="" textlink="">
      <xdr:nvSpPr>
        <xdr:cNvPr id="126226" name="Line 169"/>
        <xdr:cNvSpPr>
          <a:spLocks noChangeShapeType="1"/>
        </xdr:cNvSpPr>
      </xdr:nvSpPr>
      <xdr:spPr bwMode="auto">
        <a:xfrm>
          <a:off x="2038350" y="10696575"/>
          <a:ext cx="323850" cy="0"/>
        </a:xfrm>
        <a:prstGeom prst="line">
          <a:avLst/>
        </a:prstGeom>
        <a:noFill/>
        <a:ln w="9525">
          <a:solidFill>
            <a:srgbClr val="000000"/>
          </a:solidFill>
          <a:round/>
          <a:headEnd/>
          <a:tailEnd/>
        </a:ln>
      </xdr:spPr>
    </xdr:sp>
    <xdr:clientData/>
  </xdr:twoCellAnchor>
  <xdr:twoCellAnchor>
    <xdr:from>
      <xdr:col>7</xdr:col>
      <xdr:colOff>200025</xdr:colOff>
      <xdr:row>19</xdr:row>
      <xdr:rowOff>95250</xdr:rowOff>
    </xdr:from>
    <xdr:to>
      <xdr:col>7</xdr:col>
      <xdr:colOff>962025</xdr:colOff>
      <xdr:row>19</xdr:row>
      <xdr:rowOff>95250</xdr:rowOff>
    </xdr:to>
    <xdr:sp macro="" textlink="">
      <xdr:nvSpPr>
        <xdr:cNvPr id="126227" name="Line 170"/>
        <xdr:cNvSpPr>
          <a:spLocks noChangeShapeType="1"/>
        </xdr:cNvSpPr>
      </xdr:nvSpPr>
      <xdr:spPr bwMode="auto">
        <a:xfrm>
          <a:off x="6238875" y="3933825"/>
          <a:ext cx="762000" cy="0"/>
        </a:xfrm>
        <a:prstGeom prst="line">
          <a:avLst/>
        </a:prstGeom>
        <a:noFill/>
        <a:ln w="9525">
          <a:solidFill>
            <a:srgbClr val="000000"/>
          </a:solidFill>
          <a:round/>
          <a:headEnd/>
          <a:tailEnd/>
        </a:ln>
      </xdr:spPr>
    </xdr:sp>
    <xdr:clientData/>
  </xdr:twoCellAnchor>
  <xdr:twoCellAnchor>
    <xdr:from>
      <xdr:col>7</xdr:col>
      <xdr:colOff>552450</xdr:colOff>
      <xdr:row>23</xdr:row>
      <xdr:rowOff>142875</xdr:rowOff>
    </xdr:from>
    <xdr:to>
      <xdr:col>7</xdr:col>
      <xdr:colOff>942975</xdr:colOff>
      <xdr:row>23</xdr:row>
      <xdr:rowOff>142875</xdr:rowOff>
    </xdr:to>
    <xdr:sp macro="" textlink="">
      <xdr:nvSpPr>
        <xdr:cNvPr id="126228" name="Line 171"/>
        <xdr:cNvSpPr>
          <a:spLocks noChangeShapeType="1"/>
        </xdr:cNvSpPr>
      </xdr:nvSpPr>
      <xdr:spPr bwMode="auto">
        <a:xfrm>
          <a:off x="6591300" y="4781550"/>
          <a:ext cx="390525"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40</xdr:row>
      <xdr:rowOff>0</xdr:rowOff>
    </xdr:from>
    <xdr:to>
      <xdr:col>3</xdr:col>
      <xdr:colOff>76200</xdr:colOff>
      <xdr:row>41</xdr:row>
      <xdr:rowOff>9525</xdr:rowOff>
    </xdr:to>
    <xdr:sp macro="" textlink="">
      <xdr:nvSpPr>
        <xdr:cNvPr id="62732" name="Text Box 1"/>
        <xdr:cNvSpPr txBox="1">
          <a:spLocks noChangeArrowheads="1"/>
        </xdr:cNvSpPr>
      </xdr:nvSpPr>
      <xdr:spPr bwMode="auto">
        <a:xfrm>
          <a:off x="3276600" y="9144000"/>
          <a:ext cx="76200" cy="23812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43</xdr:col>
      <xdr:colOff>0</xdr:colOff>
      <xdr:row>0</xdr:row>
      <xdr:rowOff>85725</xdr:rowOff>
    </xdr:from>
    <xdr:to>
      <xdr:col>51</xdr:col>
      <xdr:colOff>276225</xdr:colOff>
      <xdr:row>13</xdr:row>
      <xdr:rowOff>161925</xdr:rowOff>
    </xdr:to>
    <xdr:pic>
      <xdr:nvPicPr>
        <xdr:cNvPr id="41023" name="Picture 63"/>
        <xdr:cNvPicPr>
          <a:picLocks noChangeAspect="1" noChangeArrowheads="1"/>
        </xdr:cNvPicPr>
      </xdr:nvPicPr>
      <xdr:blipFill>
        <a:blip xmlns:r="http://schemas.openxmlformats.org/officeDocument/2006/relationships" r:embed="rId1" cstate="print"/>
        <a:srcRect/>
        <a:stretch>
          <a:fillRect/>
        </a:stretch>
      </xdr:blipFill>
      <xdr:spPr bwMode="auto">
        <a:xfrm>
          <a:off x="18011775" y="85725"/>
          <a:ext cx="5762625" cy="280987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3.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6.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7.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8.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9.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2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2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4.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5.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6.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xml"/><Relationship Id="rId1" Type="http://schemas.openxmlformats.org/officeDocument/2006/relationships/printerSettings" Target="../printerSettings/printerSettings50.bin"/><Relationship Id="rId4" Type="http://schemas.openxmlformats.org/officeDocument/2006/relationships/comments" Target="../comments25.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8.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9.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30.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31.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2.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3.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4.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5.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6.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7.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8.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9.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40.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41.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2.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3.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4.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5.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6.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7.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8.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9.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50.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51.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2.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3.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showRowColHeaders="0" showZeros="0" showOutlineSymbols="0" topLeftCell="B20136" zoomScaleNormal="159" zoomScaleSheetLayoutView="4" workbookViewId="0"/>
  </sheetViews>
  <sheetFormatPr defaultRowHeight="15.75"/>
  <sheetData/>
  <phoneticPr fontId="6"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J29"/>
  <sheetViews>
    <sheetView workbookViewId="0">
      <selection activeCell="H10" sqref="H10"/>
    </sheetView>
  </sheetViews>
  <sheetFormatPr defaultRowHeight="15.75" customHeight="1" outlineLevelCol="1"/>
  <cols>
    <col min="1" max="1" width="6.875" style="186" customWidth="1"/>
    <col min="2" max="2" width="23.5" style="186" customWidth="1"/>
    <col min="3" max="3" width="8.125" style="186" customWidth="1"/>
    <col min="4" max="4" width="15.75" style="186" customWidth="1"/>
    <col min="5" max="5" width="15.625" style="186" customWidth="1"/>
    <col min="6" max="6" width="15.375" style="186" customWidth="1" outlineLevel="1"/>
    <col min="7" max="7" width="11" style="186" customWidth="1" outlineLevel="1"/>
    <col min="8" max="8" width="18.625" style="186" customWidth="1"/>
    <col min="9" max="9" width="17.5" style="186" customWidth="1"/>
    <col min="10" max="10" width="16.375" style="186" customWidth="1"/>
    <col min="11" max="16384" width="9" style="186"/>
  </cols>
  <sheetData>
    <row r="1" spans="1:10" ht="12.75">
      <c r="A1" s="198" t="s">
        <v>130</v>
      </c>
      <c r="B1" s="196" t="s">
        <v>131</v>
      </c>
      <c r="C1" s="199"/>
      <c r="D1" s="199"/>
      <c r="E1" s="199"/>
      <c r="F1" s="199"/>
      <c r="G1" s="199"/>
      <c r="H1" s="199"/>
      <c r="I1" s="199"/>
      <c r="J1" s="199"/>
    </row>
    <row r="2" spans="1:10" s="185" customFormat="1" ht="30" customHeight="1">
      <c r="A2" s="802" t="s">
        <v>915</v>
      </c>
      <c r="B2" s="803"/>
      <c r="C2" s="803"/>
      <c r="D2" s="803"/>
      <c r="E2" s="803"/>
      <c r="F2" s="803"/>
      <c r="G2" s="803"/>
      <c r="H2" s="803"/>
      <c r="I2" s="803"/>
      <c r="J2" s="803"/>
    </row>
    <row r="3" spans="1:10" ht="14.1" customHeight="1">
      <c r="A3" s="804" t="e">
        <f>CONCATENATE(#REF!,#REF!,#REF!,#REF!,#REF!,#REF!,#REF!)</f>
        <v>#REF!</v>
      </c>
      <c r="B3" s="804"/>
      <c r="C3" s="804"/>
      <c r="D3" s="804"/>
      <c r="E3" s="804"/>
      <c r="F3" s="804"/>
      <c r="G3" s="804"/>
      <c r="H3" s="804"/>
      <c r="I3" s="805"/>
      <c r="J3" s="805"/>
    </row>
    <row r="4" spans="1:10" ht="15.75" customHeight="1">
      <c r="A4" s="187" t="e">
        <f>#REF!&amp;#REF!</f>
        <v>#REF!</v>
      </c>
      <c r="J4" s="188" t="s">
        <v>3</v>
      </c>
    </row>
    <row r="5" spans="1:10" s="199" customFormat="1" ht="15.75" customHeight="1">
      <c r="A5" s="329" t="s">
        <v>4</v>
      </c>
      <c r="B5" s="329" t="s">
        <v>33</v>
      </c>
      <c r="C5" s="329" t="s">
        <v>34</v>
      </c>
      <c r="D5" s="329" t="s">
        <v>342</v>
      </c>
      <c r="E5" s="329" t="s">
        <v>35</v>
      </c>
      <c r="F5" s="329" t="s">
        <v>426</v>
      </c>
      <c r="G5" s="329" t="s">
        <v>710</v>
      </c>
      <c r="H5" s="329" t="s">
        <v>315</v>
      </c>
      <c r="I5" s="329" t="s">
        <v>0</v>
      </c>
      <c r="J5" s="329" t="s">
        <v>20</v>
      </c>
    </row>
    <row r="6" spans="1:10" ht="15.75" customHeight="1">
      <c r="A6" s="189"/>
      <c r="B6" s="190"/>
      <c r="C6" s="189"/>
      <c r="D6" s="191"/>
      <c r="E6" s="189"/>
      <c r="F6" s="191"/>
      <c r="G6" s="191"/>
      <c r="H6" s="191"/>
      <c r="I6" s="191"/>
      <c r="J6" s="191" t="str">
        <f>IF(H6=0,"",(I6-H6)/H6*100)</f>
        <v/>
      </c>
    </row>
    <row r="7" spans="1:10" ht="15.75" customHeight="1">
      <c r="A7" s="189"/>
      <c r="B7" s="190"/>
      <c r="C7" s="189"/>
      <c r="D7" s="191"/>
      <c r="E7" s="189"/>
      <c r="F7" s="191"/>
      <c r="G7" s="191"/>
      <c r="H7" s="191"/>
      <c r="I7" s="191"/>
      <c r="J7" s="191" t="str">
        <f t="shared" ref="J7:J27" si="0">IF(H7=0,"",(I7-H7)/H7*100)</f>
        <v/>
      </c>
    </row>
    <row r="8" spans="1:10" ht="15.75" customHeight="1">
      <c r="A8" s="189"/>
      <c r="B8" s="190"/>
      <c r="C8" s="189"/>
      <c r="D8" s="191"/>
      <c r="E8" s="189"/>
      <c r="F8" s="191"/>
      <c r="G8" s="191"/>
      <c r="H8" s="191"/>
      <c r="I8" s="191"/>
      <c r="J8" s="191" t="str">
        <f t="shared" si="0"/>
        <v/>
      </c>
    </row>
    <row r="9" spans="1:10" ht="15.75" customHeight="1">
      <c r="A9" s="192"/>
      <c r="B9" s="190"/>
      <c r="C9" s="189"/>
      <c r="D9" s="191"/>
      <c r="E9" s="189"/>
      <c r="F9" s="191"/>
      <c r="G9" s="191"/>
      <c r="H9" s="191"/>
      <c r="I9" s="191"/>
      <c r="J9" s="191" t="str">
        <f t="shared" si="0"/>
        <v/>
      </c>
    </row>
    <row r="10" spans="1:10" ht="15.75" customHeight="1">
      <c r="A10" s="192"/>
      <c r="B10" s="190"/>
      <c r="C10" s="189"/>
      <c r="D10" s="191"/>
      <c r="E10" s="189"/>
      <c r="F10" s="191"/>
      <c r="G10" s="191"/>
      <c r="H10" s="191"/>
      <c r="I10" s="191"/>
      <c r="J10" s="191" t="str">
        <f t="shared" si="0"/>
        <v/>
      </c>
    </row>
    <row r="11" spans="1:10" ht="15.75" customHeight="1">
      <c r="A11" s="192"/>
      <c r="B11" s="193"/>
      <c r="C11" s="189"/>
      <c r="D11" s="191"/>
      <c r="E11" s="189"/>
      <c r="F11" s="191"/>
      <c r="G11" s="191"/>
      <c r="H11" s="191"/>
      <c r="I11" s="191"/>
      <c r="J11" s="191" t="str">
        <f t="shared" si="0"/>
        <v/>
      </c>
    </row>
    <row r="12" spans="1:10" ht="15.75" customHeight="1">
      <c r="A12" s="192"/>
      <c r="B12" s="190"/>
      <c r="C12" s="189"/>
      <c r="D12" s="191"/>
      <c r="E12" s="189"/>
      <c r="F12" s="191"/>
      <c r="G12" s="191"/>
      <c r="H12" s="191"/>
      <c r="I12" s="191"/>
      <c r="J12" s="191" t="str">
        <f t="shared" si="0"/>
        <v/>
      </c>
    </row>
    <row r="13" spans="1:10" ht="15.75" customHeight="1">
      <c r="A13" s="192"/>
      <c r="B13" s="190"/>
      <c r="C13" s="189"/>
      <c r="D13" s="191"/>
      <c r="E13" s="189"/>
      <c r="F13" s="191"/>
      <c r="G13" s="191"/>
      <c r="H13" s="191"/>
      <c r="I13" s="191"/>
      <c r="J13" s="191" t="str">
        <f t="shared" si="0"/>
        <v/>
      </c>
    </row>
    <row r="14" spans="1:10" ht="15.75" customHeight="1">
      <c r="A14" s="192"/>
      <c r="B14" s="190"/>
      <c r="C14" s="189"/>
      <c r="D14" s="191"/>
      <c r="E14" s="189"/>
      <c r="F14" s="191"/>
      <c r="G14" s="191"/>
      <c r="H14" s="191"/>
      <c r="I14" s="191"/>
      <c r="J14" s="191" t="str">
        <f t="shared" si="0"/>
        <v/>
      </c>
    </row>
    <row r="15" spans="1:10" ht="15.75" customHeight="1">
      <c r="A15" s="192"/>
      <c r="B15" s="190"/>
      <c r="C15" s="189"/>
      <c r="D15" s="191"/>
      <c r="E15" s="189"/>
      <c r="F15" s="191"/>
      <c r="G15" s="191"/>
      <c r="H15" s="191"/>
      <c r="I15" s="191"/>
      <c r="J15" s="191" t="str">
        <f t="shared" si="0"/>
        <v/>
      </c>
    </row>
    <row r="16" spans="1:10" ht="15.75" customHeight="1">
      <c r="A16" s="192"/>
      <c r="B16" s="190"/>
      <c r="C16" s="189"/>
      <c r="D16" s="191"/>
      <c r="E16" s="189"/>
      <c r="F16" s="191"/>
      <c r="G16" s="191"/>
      <c r="H16" s="191"/>
      <c r="I16" s="191"/>
      <c r="J16" s="191" t="str">
        <f t="shared" si="0"/>
        <v/>
      </c>
    </row>
    <row r="17" spans="1:10" ht="15.75" customHeight="1">
      <c r="A17" s="192"/>
      <c r="B17" s="190"/>
      <c r="C17" s="189"/>
      <c r="D17" s="191"/>
      <c r="E17" s="189"/>
      <c r="F17" s="191"/>
      <c r="G17" s="191"/>
      <c r="H17" s="191"/>
      <c r="I17" s="191"/>
      <c r="J17" s="191" t="str">
        <f t="shared" si="0"/>
        <v/>
      </c>
    </row>
    <row r="18" spans="1:10" ht="15.75" customHeight="1">
      <c r="A18" s="192"/>
      <c r="B18" s="190"/>
      <c r="C18" s="189"/>
      <c r="D18" s="191"/>
      <c r="E18" s="189"/>
      <c r="F18" s="191"/>
      <c r="G18" s="191"/>
      <c r="H18" s="191"/>
      <c r="I18" s="191"/>
      <c r="J18" s="191" t="str">
        <f t="shared" si="0"/>
        <v/>
      </c>
    </row>
    <row r="19" spans="1:10" ht="15.75" customHeight="1">
      <c r="A19" s="192"/>
      <c r="B19" s="190"/>
      <c r="C19" s="189"/>
      <c r="D19" s="191"/>
      <c r="E19" s="189"/>
      <c r="F19" s="191"/>
      <c r="G19" s="191"/>
      <c r="H19" s="191"/>
      <c r="I19" s="191"/>
      <c r="J19" s="191" t="str">
        <f t="shared" si="0"/>
        <v/>
      </c>
    </row>
    <row r="20" spans="1:10" ht="15.75" customHeight="1">
      <c r="A20" s="192"/>
      <c r="B20" s="190"/>
      <c r="C20" s="189"/>
      <c r="D20" s="191"/>
      <c r="E20" s="189"/>
      <c r="F20" s="191"/>
      <c r="G20" s="191"/>
      <c r="H20" s="191"/>
      <c r="I20" s="191"/>
      <c r="J20" s="191" t="str">
        <f t="shared" si="0"/>
        <v/>
      </c>
    </row>
    <row r="21" spans="1:10" ht="15.75" customHeight="1">
      <c r="A21" s="192"/>
      <c r="B21" s="190"/>
      <c r="C21" s="189"/>
      <c r="D21" s="191"/>
      <c r="E21" s="189"/>
      <c r="F21" s="191"/>
      <c r="G21" s="191"/>
      <c r="H21" s="191"/>
      <c r="I21" s="191"/>
      <c r="J21" s="191" t="str">
        <f t="shared" si="0"/>
        <v/>
      </c>
    </row>
    <row r="22" spans="1:10" ht="15.75" customHeight="1">
      <c r="A22" s="192"/>
      <c r="B22" s="190"/>
      <c r="C22" s="189"/>
      <c r="D22" s="191"/>
      <c r="E22" s="189"/>
      <c r="F22" s="191"/>
      <c r="G22" s="191"/>
      <c r="H22" s="191"/>
      <c r="I22" s="191"/>
      <c r="J22" s="191" t="str">
        <f t="shared" si="0"/>
        <v/>
      </c>
    </row>
    <row r="23" spans="1:10" ht="15.75" customHeight="1">
      <c r="A23" s="192"/>
      <c r="B23" s="190"/>
      <c r="C23" s="189"/>
      <c r="D23" s="191"/>
      <c r="E23" s="189"/>
      <c r="F23" s="191"/>
      <c r="G23" s="191"/>
      <c r="H23" s="191"/>
      <c r="I23" s="191"/>
      <c r="J23" s="191" t="str">
        <f t="shared" si="0"/>
        <v/>
      </c>
    </row>
    <row r="24" spans="1:10" ht="15.75" customHeight="1">
      <c r="A24" s="192"/>
      <c r="B24" s="190"/>
      <c r="C24" s="189"/>
      <c r="D24" s="191"/>
      <c r="E24" s="189"/>
      <c r="F24" s="191"/>
      <c r="G24" s="191"/>
      <c r="H24" s="191"/>
      <c r="I24" s="191"/>
      <c r="J24" s="191" t="str">
        <f t="shared" si="0"/>
        <v/>
      </c>
    </row>
    <row r="25" spans="1:10" ht="15.75" customHeight="1">
      <c r="A25" s="192"/>
      <c r="B25" s="190"/>
      <c r="C25" s="189"/>
      <c r="D25" s="191"/>
      <c r="E25" s="189"/>
      <c r="F25" s="191"/>
      <c r="G25" s="191"/>
      <c r="H25" s="191"/>
      <c r="I25" s="191"/>
      <c r="J25" s="191" t="str">
        <f t="shared" si="0"/>
        <v/>
      </c>
    </row>
    <row r="26" spans="1:10" ht="15.75" customHeight="1">
      <c r="A26" s="192"/>
      <c r="B26" s="190"/>
      <c r="C26" s="189"/>
      <c r="D26" s="191"/>
      <c r="E26" s="189"/>
      <c r="F26" s="191"/>
      <c r="G26" s="191"/>
      <c r="H26" s="191"/>
      <c r="I26" s="191"/>
      <c r="J26" s="191"/>
    </row>
    <row r="27" spans="1:10" ht="15.75" customHeight="1">
      <c r="A27" s="806" t="s">
        <v>36</v>
      </c>
      <c r="B27" s="807"/>
      <c r="C27" s="192"/>
      <c r="D27" s="191"/>
      <c r="E27" s="189"/>
      <c r="F27" s="191">
        <f>SUM(F6:F26)</f>
        <v>0</v>
      </c>
      <c r="G27" s="191"/>
      <c r="H27" s="191">
        <f>SUM(H6:H26)</f>
        <v>0</v>
      </c>
      <c r="I27" s="191">
        <f>SUM(I6:I26)</f>
        <v>0</v>
      </c>
      <c r="J27" s="191" t="str">
        <f t="shared" si="0"/>
        <v/>
      </c>
    </row>
    <row r="28" spans="1:10" ht="15.75" customHeight="1">
      <c r="A28" s="194" t="e">
        <f>#REF!&amp;#REF!</f>
        <v>#REF!</v>
      </c>
      <c r="H28" s="187" t="e">
        <f>"评估人员："&amp;#REF!</f>
        <v>#REF!</v>
      </c>
    </row>
    <row r="29" spans="1:10" ht="15.75" customHeight="1">
      <c r="A29" s="194" t="e">
        <f>CONCATENATE(#REF!,#REF!,#REF!,#REF!,#REF!,#REF!,#REF!)</f>
        <v>#REF!</v>
      </c>
    </row>
  </sheetData>
  <mergeCells count="3">
    <mergeCell ref="A2:J2"/>
    <mergeCell ref="A3:J3"/>
    <mergeCell ref="A27:B27"/>
  </mergeCells>
  <phoneticPr fontId="6" type="noConversion"/>
  <hyperlinks>
    <hyperlink ref="B1" location="流动汇总!B6" display="货币资金"/>
    <hyperlink ref="A1" location="索引目录!E6" display="现金"/>
  </hyperlinks>
  <printOptions horizontalCentered="1"/>
  <pageMargins left="0.35433070866141736" right="0.35433070866141736" top="0.78740157480314965" bottom="0.78740157480314965" header="1.02" footer="0.51181102362204722"/>
  <pageSetup paperSize="9" scale="88" fitToHeight="0" orientation="landscape" horizontalDpi="4294967292" r:id="rId1"/>
  <headerFooter alignWithMargins="0">
    <oddHeader>&amp;R&amp;"宋体,常规"&amp;10表&amp;"Times New Roman,常规"3-1-1
&amp;"宋体,常规"共&amp;"Times New Roman,常规"&amp;N&amp;"宋体,常规"页第&amp;"Times New Roman,常规"&amp;P&amp;"宋体,常规"页</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pageSetUpPr fitToPage="1"/>
  </sheetPr>
  <dimension ref="A1:K29"/>
  <sheetViews>
    <sheetView workbookViewId="0">
      <selection activeCell="H10" sqref="H10"/>
    </sheetView>
  </sheetViews>
  <sheetFormatPr defaultRowHeight="15.75" customHeight="1" outlineLevelCol="1"/>
  <cols>
    <col min="1" max="1" width="6.375" style="4" customWidth="1"/>
    <col min="2" max="2" width="16.125" style="4" customWidth="1"/>
    <col min="3" max="3" width="23.25" style="4" customWidth="1"/>
    <col min="4" max="4" width="7.375" style="4" customWidth="1"/>
    <col min="5" max="5" width="13" style="4" customWidth="1"/>
    <col min="6" max="6" width="13.5" style="4" customWidth="1"/>
    <col min="7" max="8" width="15.5" style="4" customWidth="1" outlineLevel="1"/>
    <col min="9" max="10" width="15.5" style="4" customWidth="1"/>
    <col min="11" max="11" width="12.125" style="4" customWidth="1"/>
    <col min="12" max="16384" width="9" style="4"/>
  </cols>
  <sheetData>
    <row r="1" spans="1:11" ht="12.75">
      <c r="A1" s="195" t="s">
        <v>130</v>
      </c>
      <c r="B1" s="196" t="s">
        <v>131</v>
      </c>
      <c r="C1" s="1"/>
      <c r="D1" s="1"/>
      <c r="E1" s="1"/>
      <c r="F1" s="1"/>
      <c r="G1" s="1"/>
      <c r="H1" s="1"/>
      <c r="I1" s="1"/>
      <c r="J1" s="1"/>
      <c r="K1" s="1"/>
    </row>
    <row r="2" spans="1:11" s="114" customFormat="1" ht="30" customHeight="1">
      <c r="A2" s="790" t="s">
        <v>914</v>
      </c>
      <c r="B2" s="791"/>
      <c r="C2" s="791"/>
      <c r="D2" s="791"/>
      <c r="E2" s="791"/>
      <c r="F2" s="791"/>
      <c r="G2" s="791"/>
      <c r="H2" s="791"/>
      <c r="I2" s="791"/>
      <c r="J2" s="791"/>
      <c r="K2" s="791"/>
    </row>
    <row r="3" spans="1:11" ht="14.1" customHeight="1">
      <c r="A3" s="792" t="e">
        <f>CONCATENATE(#REF!,#REF!,#REF!,#REF!,#REF!,#REF!,#REF!)</f>
        <v>#REF!</v>
      </c>
      <c r="B3" s="792"/>
      <c r="C3" s="792"/>
      <c r="D3" s="792"/>
      <c r="E3" s="792"/>
      <c r="F3" s="792"/>
      <c r="G3" s="792"/>
      <c r="H3" s="792"/>
      <c r="I3" s="792"/>
      <c r="J3" s="808"/>
      <c r="K3" s="808"/>
    </row>
    <row r="4" spans="1:11" ht="15.75" customHeight="1">
      <c r="A4" s="115" t="e">
        <f>#REF!&amp;#REF!</f>
        <v>#REF!</v>
      </c>
      <c r="K4" s="106" t="s">
        <v>3</v>
      </c>
    </row>
    <row r="5" spans="1:11" s="1" customFormat="1" ht="15.75" customHeight="1">
      <c r="A5" s="2" t="s">
        <v>4</v>
      </c>
      <c r="B5" s="2" t="s">
        <v>37</v>
      </c>
      <c r="C5" s="2" t="s">
        <v>343</v>
      </c>
      <c r="D5" s="2" t="s">
        <v>34</v>
      </c>
      <c r="E5" s="2" t="s">
        <v>342</v>
      </c>
      <c r="F5" s="2" t="s">
        <v>35</v>
      </c>
      <c r="G5" s="2" t="s">
        <v>426</v>
      </c>
      <c r="H5" s="2" t="s">
        <v>710</v>
      </c>
      <c r="I5" s="2" t="s">
        <v>315</v>
      </c>
      <c r="J5" s="2" t="s">
        <v>0</v>
      </c>
      <c r="K5" s="2" t="s">
        <v>20</v>
      </c>
    </row>
    <row r="6" spans="1:11" ht="15.75" customHeight="1">
      <c r="A6" s="105"/>
      <c r="B6" s="128"/>
      <c r="C6" s="131"/>
      <c r="D6" s="131"/>
      <c r="E6" s="142"/>
      <c r="F6" s="153"/>
      <c r="G6" s="142"/>
      <c r="H6" s="142"/>
      <c r="I6" s="142"/>
      <c r="J6" s="142"/>
      <c r="K6" s="142" t="str">
        <f>IF(I6=0,"",(J6-I6)/I6*100)</f>
        <v/>
      </c>
    </row>
    <row r="7" spans="1:11" ht="15.75" customHeight="1">
      <c r="A7" s="105"/>
      <c r="B7" s="128"/>
      <c r="C7" s="131"/>
      <c r="D7" s="131"/>
      <c r="E7" s="142"/>
      <c r="F7" s="153"/>
      <c r="G7" s="142"/>
      <c r="H7" s="142"/>
      <c r="I7" s="142"/>
      <c r="J7" s="142"/>
      <c r="K7" s="142" t="str">
        <f t="shared" ref="K7:K27" si="0">IF(I7=0,"",(J7-I7)/I7*100)</f>
        <v/>
      </c>
    </row>
    <row r="8" spans="1:11" ht="15.75" customHeight="1">
      <c r="A8" s="105"/>
      <c r="B8" s="128"/>
      <c r="C8" s="131"/>
      <c r="D8" s="131"/>
      <c r="E8" s="142"/>
      <c r="F8" s="153"/>
      <c r="G8" s="142"/>
      <c r="H8" s="142"/>
      <c r="I8" s="142"/>
      <c r="J8" s="142"/>
      <c r="K8" s="142" t="str">
        <f t="shared" si="0"/>
        <v/>
      </c>
    </row>
    <row r="9" spans="1:11" ht="15.75" customHeight="1">
      <c r="A9" s="105"/>
      <c r="B9" s="128"/>
      <c r="C9" s="131"/>
      <c r="D9" s="131"/>
      <c r="E9" s="142"/>
      <c r="F9" s="153"/>
      <c r="G9" s="142"/>
      <c r="H9" s="142"/>
      <c r="I9" s="142"/>
      <c r="J9" s="142"/>
      <c r="K9" s="142" t="str">
        <f t="shared" si="0"/>
        <v/>
      </c>
    </row>
    <row r="10" spans="1:11" ht="15.75" customHeight="1">
      <c r="A10" s="105"/>
      <c r="B10" s="128"/>
      <c r="C10" s="131"/>
      <c r="D10" s="131"/>
      <c r="E10" s="142"/>
      <c r="F10" s="153"/>
      <c r="G10" s="142"/>
      <c r="H10" s="142"/>
      <c r="I10" s="142"/>
      <c r="J10" s="142"/>
      <c r="K10" s="142" t="str">
        <f t="shared" si="0"/>
        <v/>
      </c>
    </row>
    <row r="11" spans="1:11" ht="15.75" customHeight="1">
      <c r="A11" s="105"/>
      <c r="B11" s="128"/>
      <c r="C11" s="131"/>
      <c r="D11" s="131"/>
      <c r="E11" s="142"/>
      <c r="F11" s="153"/>
      <c r="G11" s="142"/>
      <c r="H11" s="142"/>
      <c r="I11" s="142"/>
      <c r="J11" s="142"/>
      <c r="K11" s="142" t="str">
        <f t="shared" si="0"/>
        <v/>
      </c>
    </row>
    <row r="12" spans="1:11" ht="15.75" customHeight="1">
      <c r="A12" s="105"/>
      <c r="B12" s="128"/>
      <c r="C12" s="131"/>
      <c r="D12" s="131"/>
      <c r="E12" s="142"/>
      <c r="F12" s="153"/>
      <c r="G12" s="142"/>
      <c r="H12" s="142"/>
      <c r="I12" s="142"/>
      <c r="J12" s="142"/>
      <c r="K12" s="142" t="str">
        <f t="shared" si="0"/>
        <v/>
      </c>
    </row>
    <row r="13" spans="1:11" ht="15.75" customHeight="1">
      <c r="A13" s="105"/>
      <c r="B13" s="128"/>
      <c r="C13" s="131"/>
      <c r="D13" s="131"/>
      <c r="E13" s="142"/>
      <c r="F13" s="153"/>
      <c r="G13" s="142"/>
      <c r="H13" s="142"/>
      <c r="I13" s="142"/>
      <c r="J13" s="142"/>
      <c r="K13" s="142" t="str">
        <f t="shared" si="0"/>
        <v/>
      </c>
    </row>
    <row r="14" spans="1:11" ht="15.75" customHeight="1">
      <c r="A14" s="105"/>
      <c r="B14" s="128"/>
      <c r="C14" s="131"/>
      <c r="D14" s="131"/>
      <c r="E14" s="142"/>
      <c r="F14" s="153"/>
      <c r="G14" s="142"/>
      <c r="H14" s="142"/>
      <c r="I14" s="142"/>
      <c r="J14" s="142"/>
      <c r="K14" s="142" t="str">
        <f t="shared" si="0"/>
        <v/>
      </c>
    </row>
    <row r="15" spans="1:11" ht="15.75" customHeight="1">
      <c r="A15" s="105"/>
      <c r="B15" s="128"/>
      <c r="C15" s="131"/>
      <c r="D15" s="131"/>
      <c r="E15" s="142"/>
      <c r="F15" s="153"/>
      <c r="G15" s="142"/>
      <c r="H15" s="142"/>
      <c r="I15" s="142"/>
      <c r="J15" s="142"/>
      <c r="K15" s="142" t="str">
        <f t="shared" si="0"/>
        <v/>
      </c>
    </row>
    <row r="16" spans="1:11" ht="15.75" customHeight="1">
      <c r="A16" s="105"/>
      <c r="B16" s="128"/>
      <c r="C16" s="131"/>
      <c r="D16" s="131"/>
      <c r="E16" s="142"/>
      <c r="F16" s="153"/>
      <c r="G16" s="142"/>
      <c r="H16" s="142"/>
      <c r="I16" s="142"/>
      <c r="J16" s="142"/>
      <c r="K16" s="142" t="str">
        <f t="shared" si="0"/>
        <v/>
      </c>
    </row>
    <row r="17" spans="1:11" ht="15.75" customHeight="1">
      <c r="A17" s="105"/>
      <c r="B17" s="128"/>
      <c r="C17" s="131"/>
      <c r="D17" s="131"/>
      <c r="E17" s="142"/>
      <c r="F17" s="153"/>
      <c r="G17" s="142"/>
      <c r="H17" s="142"/>
      <c r="I17" s="142"/>
      <c r="J17" s="142"/>
      <c r="K17" s="142" t="str">
        <f t="shared" si="0"/>
        <v/>
      </c>
    </row>
    <row r="18" spans="1:11" ht="15.75" customHeight="1">
      <c r="A18" s="105"/>
      <c r="B18" s="128"/>
      <c r="C18" s="131"/>
      <c r="D18" s="131"/>
      <c r="E18" s="142"/>
      <c r="F18" s="153"/>
      <c r="G18" s="142"/>
      <c r="H18" s="142"/>
      <c r="I18" s="142"/>
      <c r="J18" s="142"/>
      <c r="K18" s="142" t="str">
        <f t="shared" si="0"/>
        <v/>
      </c>
    </row>
    <row r="19" spans="1:11" ht="15.75" customHeight="1">
      <c r="A19" s="105"/>
      <c r="B19" s="128"/>
      <c r="C19" s="131"/>
      <c r="D19" s="131"/>
      <c r="E19" s="142"/>
      <c r="F19" s="153"/>
      <c r="G19" s="142"/>
      <c r="H19" s="142"/>
      <c r="I19" s="142"/>
      <c r="J19" s="142"/>
      <c r="K19" s="142" t="str">
        <f t="shared" si="0"/>
        <v/>
      </c>
    </row>
    <row r="20" spans="1:11" ht="15.75" customHeight="1">
      <c r="A20" s="105"/>
      <c r="B20" s="128"/>
      <c r="C20" s="131"/>
      <c r="D20" s="131"/>
      <c r="E20" s="142"/>
      <c r="F20" s="153"/>
      <c r="G20" s="142"/>
      <c r="H20" s="142"/>
      <c r="I20" s="142"/>
      <c r="J20" s="142"/>
      <c r="K20" s="142" t="str">
        <f t="shared" si="0"/>
        <v/>
      </c>
    </row>
    <row r="21" spans="1:11" ht="15.75" customHeight="1">
      <c r="A21" s="105"/>
      <c r="B21" s="128"/>
      <c r="C21" s="131"/>
      <c r="D21" s="131"/>
      <c r="E21" s="142"/>
      <c r="F21" s="153"/>
      <c r="G21" s="142"/>
      <c r="H21" s="142"/>
      <c r="I21" s="142"/>
      <c r="J21" s="142"/>
      <c r="K21" s="142" t="str">
        <f t="shared" si="0"/>
        <v/>
      </c>
    </row>
    <row r="22" spans="1:11" ht="15.75" customHeight="1">
      <c r="A22" s="105"/>
      <c r="B22" s="128"/>
      <c r="C22" s="131"/>
      <c r="D22" s="131"/>
      <c r="E22" s="142"/>
      <c r="F22" s="153"/>
      <c r="G22" s="142"/>
      <c r="H22" s="142"/>
      <c r="I22" s="142"/>
      <c r="J22" s="142"/>
      <c r="K22" s="142" t="str">
        <f t="shared" si="0"/>
        <v/>
      </c>
    </row>
    <row r="23" spans="1:11" ht="15.75" customHeight="1">
      <c r="A23" s="105"/>
      <c r="B23" s="128"/>
      <c r="C23" s="131"/>
      <c r="D23" s="131"/>
      <c r="E23" s="142"/>
      <c r="F23" s="153"/>
      <c r="G23" s="142"/>
      <c r="H23" s="142"/>
      <c r="I23" s="142"/>
      <c r="J23" s="142"/>
      <c r="K23" s="142" t="str">
        <f t="shared" si="0"/>
        <v/>
      </c>
    </row>
    <row r="24" spans="1:11" ht="15.75" customHeight="1">
      <c r="A24" s="105"/>
      <c r="B24" s="128"/>
      <c r="C24" s="131"/>
      <c r="D24" s="131"/>
      <c r="E24" s="142"/>
      <c r="F24" s="153"/>
      <c r="G24" s="142"/>
      <c r="H24" s="142"/>
      <c r="I24" s="142"/>
      <c r="J24" s="142"/>
      <c r="K24" s="142" t="str">
        <f t="shared" si="0"/>
        <v/>
      </c>
    </row>
    <row r="25" spans="1:11" ht="15.75" customHeight="1">
      <c r="A25" s="105"/>
      <c r="B25" s="128"/>
      <c r="C25" s="131"/>
      <c r="D25" s="131"/>
      <c r="E25" s="142"/>
      <c r="F25" s="153"/>
      <c r="G25" s="142"/>
      <c r="H25" s="142"/>
      <c r="I25" s="142"/>
      <c r="J25" s="142"/>
      <c r="K25" s="142" t="str">
        <f t="shared" si="0"/>
        <v/>
      </c>
    </row>
    <row r="26" spans="1:11" ht="15.75" customHeight="1">
      <c r="A26" s="105"/>
      <c r="B26" s="128"/>
      <c r="C26" s="131"/>
      <c r="D26" s="131"/>
      <c r="E26" s="142"/>
      <c r="F26" s="153"/>
      <c r="G26" s="142"/>
      <c r="H26" s="142"/>
      <c r="I26" s="142"/>
      <c r="J26" s="142"/>
      <c r="K26" s="142"/>
    </row>
    <row r="27" spans="1:11" ht="15.75" customHeight="1">
      <c r="A27" s="809" t="s">
        <v>36</v>
      </c>
      <c r="B27" s="810"/>
      <c r="C27" s="120"/>
      <c r="D27" s="120"/>
      <c r="E27" s="142"/>
      <c r="F27" s="153"/>
      <c r="G27" s="142">
        <f>SUM(G6:G26)</f>
        <v>0</v>
      </c>
      <c r="H27" s="142"/>
      <c r="I27" s="142">
        <f>SUM(I6:I26)</f>
        <v>0</v>
      </c>
      <c r="J27" s="142">
        <f>SUM(J6:J26)</f>
        <v>0</v>
      </c>
      <c r="K27" s="142" t="str">
        <f t="shared" si="0"/>
        <v/>
      </c>
    </row>
    <row r="28" spans="1:11" ht="15.75" customHeight="1">
      <c r="A28" s="101" t="e">
        <f>#REF!&amp;#REF!</f>
        <v>#REF!</v>
      </c>
      <c r="I28" s="115" t="e">
        <f>"评估人员："&amp;#REF!</f>
        <v>#REF!</v>
      </c>
    </row>
    <row r="29" spans="1:11" ht="15.75" customHeight="1">
      <c r="A29" s="101" t="e">
        <f>CONCATENATE(#REF!,#REF!,#REF!,#REF!,#REF!,#REF!,#REF!)</f>
        <v>#REF!</v>
      </c>
    </row>
  </sheetData>
  <mergeCells count="3">
    <mergeCell ref="A2:K2"/>
    <mergeCell ref="A3:K3"/>
    <mergeCell ref="A27:B27"/>
  </mergeCells>
  <phoneticPr fontId="6" type="noConversion"/>
  <hyperlinks>
    <hyperlink ref="B1" location="流动汇总!B6" display="货币资金（现金"/>
    <hyperlink ref="A1" location="索引目录!E7" display="银行存款"/>
  </hyperlinks>
  <printOptions horizontalCentered="1"/>
  <pageMargins left="0.35433070866141736" right="0.35433070866141736" top="0.78740157480314965" bottom="0.78740157480314965" header="1.02" footer="0.51181102362204722"/>
  <pageSetup paperSize="9" scale="85" fitToHeight="0" orientation="landscape" horizontalDpi="4294967292" r:id="rId1"/>
  <headerFooter alignWithMargins="0">
    <oddHeader>&amp;R&amp;"宋体,常规"&amp;10表&amp;"Times New Roman,常规"3-1-2
&amp;"宋体,常规"共&amp;"Times New Roman,常规"&amp;N&amp;"宋体,常规"页第&amp;"Times New Roman,常规"&amp;P&amp;"宋体,常规"页</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L29"/>
  <sheetViews>
    <sheetView workbookViewId="0">
      <selection activeCell="H10" sqref="H10"/>
    </sheetView>
  </sheetViews>
  <sheetFormatPr defaultRowHeight="15.75" customHeight="1" outlineLevelCol="1"/>
  <cols>
    <col min="1" max="1" width="6.125" style="4" customWidth="1"/>
    <col min="2" max="2" width="18.625" style="4" customWidth="1"/>
    <col min="3" max="3" width="16.125" style="4" customWidth="1"/>
    <col min="4" max="4" width="7.625" style="4" customWidth="1"/>
    <col min="5" max="5" width="12.625" style="4" customWidth="1"/>
    <col min="6" max="6" width="13.125" style="4" customWidth="1"/>
    <col min="7" max="7" width="14.25" style="4" customWidth="1" outlineLevel="1"/>
    <col min="8" max="8" width="9.25" style="4" customWidth="1" outlineLevel="1"/>
    <col min="9" max="9" width="15" style="4" customWidth="1"/>
    <col min="10" max="10" width="14.25" style="4" customWidth="1"/>
    <col min="11" max="11" width="9.625" style="4" customWidth="1"/>
    <col min="12" max="16384" width="9" style="4"/>
  </cols>
  <sheetData>
    <row r="1" spans="1:12" ht="12.75">
      <c r="A1" s="195" t="s">
        <v>130</v>
      </c>
      <c r="B1" s="196" t="s">
        <v>131</v>
      </c>
      <c r="C1" s="1"/>
      <c r="D1" s="1"/>
      <c r="E1" s="1"/>
      <c r="F1" s="1"/>
      <c r="G1" s="1"/>
      <c r="H1" s="1"/>
      <c r="I1" s="1"/>
      <c r="J1" s="1"/>
      <c r="K1" s="1"/>
      <c r="L1" s="1"/>
    </row>
    <row r="2" spans="1:12" s="114" customFormat="1" ht="30" customHeight="1">
      <c r="A2" s="790" t="s">
        <v>913</v>
      </c>
      <c r="B2" s="791"/>
      <c r="C2" s="791"/>
      <c r="D2" s="791"/>
      <c r="E2" s="791"/>
      <c r="F2" s="791"/>
      <c r="G2" s="791"/>
      <c r="H2" s="791"/>
      <c r="I2" s="791"/>
      <c r="J2" s="791"/>
      <c r="K2" s="791"/>
      <c r="L2" s="791"/>
    </row>
    <row r="3" spans="1:12" ht="14.1" customHeight="1">
      <c r="A3" s="792" t="e">
        <f>CONCATENATE(#REF!,#REF!,#REF!,#REF!,#REF!,#REF!,#REF!)</f>
        <v>#REF!</v>
      </c>
      <c r="B3" s="792"/>
      <c r="C3" s="792"/>
      <c r="D3" s="792"/>
      <c r="E3" s="792"/>
      <c r="F3" s="792"/>
      <c r="G3" s="792"/>
      <c r="H3" s="792"/>
      <c r="I3" s="808"/>
      <c r="J3" s="808"/>
      <c r="K3" s="808"/>
      <c r="L3" s="808"/>
    </row>
    <row r="4" spans="1:12" ht="15.75" customHeight="1">
      <c r="A4" s="115" t="e">
        <f>#REF!&amp;#REF!</f>
        <v>#REF!</v>
      </c>
      <c r="L4" s="106" t="s">
        <v>3</v>
      </c>
    </row>
    <row r="5" spans="1:12" s="1" customFormat="1" ht="15.75" customHeight="1">
      <c r="A5" s="2" t="s">
        <v>4</v>
      </c>
      <c r="B5" s="2" t="s">
        <v>38</v>
      </c>
      <c r="C5" s="2" t="s">
        <v>39</v>
      </c>
      <c r="D5" s="2" t="s">
        <v>34</v>
      </c>
      <c r="E5" s="2" t="s">
        <v>342</v>
      </c>
      <c r="F5" s="2" t="s">
        <v>35</v>
      </c>
      <c r="G5" s="2" t="s">
        <v>426</v>
      </c>
      <c r="H5" s="2" t="s">
        <v>711</v>
      </c>
      <c r="I5" s="2" t="s">
        <v>315</v>
      </c>
      <c r="J5" s="2" t="s">
        <v>0</v>
      </c>
      <c r="K5" s="2" t="s">
        <v>20</v>
      </c>
      <c r="L5" s="2" t="s">
        <v>72</v>
      </c>
    </row>
    <row r="6" spans="1:12" ht="15.75" customHeight="1">
      <c r="A6" s="105"/>
      <c r="B6" s="128"/>
      <c r="C6" s="128"/>
      <c r="D6" s="105"/>
      <c r="E6" s="142"/>
      <c r="F6" s="153"/>
      <c r="G6" s="142"/>
      <c r="H6" s="142"/>
      <c r="I6" s="142"/>
      <c r="J6" s="142"/>
      <c r="K6" s="142" t="str">
        <f>IF(I6=0,"",(J6-I6)/I6*100)</f>
        <v/>
      </c>
      <c r="L6" s="120"/>
    </row>
    <row r="7" spans="1:12" ht="15.75" customHeight="1">
      <c r="A7" s="105"/>
      <c r="B7" s="128"/>
      <c r="C7" s="128"/>
      <c r="D7" s="105"/>
      <c r="E7" s="142"/>
      <c r="F7" s="153"/>
      <c r="G7" s="142"/>
      <c r="H7" s="142"/>
      <c r="I7" s="142"/>
      <c r="J7" s="142"/>
      <c r="K7" s="142" t="str">
        <f t="shared" ref="K7:K25" si="0">IF(I7=0,"",(J7-I7)/I7*100)</f>
        <v/>
      </c>
      <c r="L7" s="120"/>
    </row>
    <row r="8" spans="1:12" ht="15.75" customHeight="1">
      <c r="A8" s="105"/>
      <c r="B8" s="128"/>
      <c r="C8" s="128"/>
      <c r="D8" s="105"/>
      <c r="E8" s="142"/>
      <c r="F8" s="153"/>
      <c r="G8" s="142"/>
      <c r="H8" s="142"/>
      <c r="I8" s="142"/>
      <c r="J8" s="142"/>
      <c r="K8" s="142" t="str">
        <f t="shared" si="0"/>
        <v/>
      </c>
      <c r="L8" s="120"/>
    </row>
    <row r="9" spans="1:12" ht="15.75" customHeight="1">
      <c r="A9" s="105"/>
      <c r="B9" s="128"/>
      <c r="C9" s="128"/>
      <c r="D9" s="105"/>
      <c r="E9" s="142"/>
      <c r="F9" s="153"/>
      <c r="G9" s="142"/>
      <c r="H9" s="142"/>
      <c r="I9" s="142"/>
      <c r="J9" s="142"/>
      <c r="K9" s="142" t="str">
        <f t="shared" si="0"/>
        <v/>
      </c>
      <c r="L9" s="120"/>
    </row>
    <row r="10" spans="1:12" ht="15.75" customHeight="1">
      <c r="A10" s="105"/>
      <c r="B10" s="128"/>
      <c r="C10" s="128"/>
      <c r="D10" s="105"/>
      <c r="E10" s="142"/>
      <c r="F10" s="153"/>
      <c r="G10" s="142"/>
      <c r="H10" s="142"/>
      <c r="I10" s="142"/>
      <c r="J10" s="142"/>
      <c r="K10" s="142" t="str">
        <f t="shared" si="0"/>
        <v/>
      </c>
      <c r="L10" s="120"/>
    </row>
    <row r="11" spans="1:12" ht="15.75" customHeight="1">
      <c r="A11" s="105"/>
      <c r="B11" s="128"/>
      <c r="C11" s="128"/>
      <c r="D11" s="105"/>
      <c r="E11" s="142"/>
      <c r="F11" s="153"/>
      <c r="G11" s="142"/>
      <c r="H11" s="142"/>
      <c r="I11" s="142"/>
      <c r="J11" s="142"/>
      <c r="K11" s="142" t="str">
        <f t="shared" si="0"/>
        <v/>
      </c>
      <c r="L11" s="120"/>
    </row>
    <row r="12" spans="1:12" ht="15.75" customHeight="1">
      <c r="A12" s="105"/>
      <c r="B12" s="128"/>
      <c r="C12" s="128"/>
      <c r="D12" s="105"/>
      <c r="E12" s="142"/>
      <c r="F12" s="153"/>
      <c r="G12" s="142"/>
      <c r="H12" s="142"/>
      <c r="I12" s="142"/>
      <c r="J12" s="142"/>
      <c r="K12" s="142" t="str">
        <f t="shared" si="0"/>
        <v/>
      </c>
      <c r="L12" s="120"/>
    </row>
    <row r="13" spans="1:12" ht="15.75" customHeight="1">
      <c r="A13" s="105"/>
      <c r="B13" s="128"/>
      <c r="C13" s="128"/>
      <c r="D13" s="105"/>
      <c r="E13" s="142"/>
      <c r="F13" s="153"/>
      <c r="G13" s="142"/>
      <c r="H13" s="142"/>
      <c r="I13" s="142"/>
      <c r="J13" s="142"/>
      <c r="K13" s="142" t="str">
        <f t="shared" si="0"/>
        <v/>
      </c>
      <c r="L13" s="120"/>
    </row>
    <row r="14" spans="1:12" ht="15.75" customHeight="1">
      <c r="A14" s="105"/>
      <c r="B14" s="128"/>
      <c r="C14" s="128"/>
      <c r="D14" s="105"/>
      <c r="E14" s="142"/>
      <c r="F14" s="153"/>
      <c r="G14" s="142"/>
      <c r="H14" s="142"/>
      <c r="I14" s="142"/>
      <c r="J14" s="142"/>
      <c r="K14" s="142" t="str">
        <f t="shared" si="0"/>
        <v/>
      </c>
      <c r="L14" s="120"/>
    </row>
    <row r="15" spans="1:12" ht="15.75" customHeight="1">
      <c r="A15" s="105"/>
      <c r="B15" s="128"/>
      <c r="C15" s="128"/>
      <c r="D15" s="105"/>
      <c r="E15" s="142"/>
      <c r="F15" s="153"/>
      <c r="G15" s="142"/>
      <c r="H15" s="142"/>
      <c r="I15" s="142"/>
      <c r="J15" s="142"/>
      <c r="K15" s="142" t="str">
        <f t="shared" si="0"/>
        <v/>
      </c>
      <c r="L15" s="120"/>
    </row>
    <row r="16" spans="1:12" ht="15.75" customHeight="1">
      <c r="A16" s="105"/>
      <c r="B16" s="128"/>
      <c r="C16" s="128"/>
      <c r="D16" s="105"/>
      <c r="E16" s="142"/>
      <c r="F16" s="153"/>
      <c r="G16" s="142"/>
      <c r="H16" s="142"/>
      <c r="I16" s="142"/>
      <c r="J16" s="142"/>
      <c r="K16" s="142" t="str">
        <f t="shared" si="0"/>
        <v/>
      </c>
      <c r="L16" s="120"/>
    </row>
    <row r="17" spans="1:12" ht="15.75" customHeight="1">
      <c r="A17" s="105"/>
      <c r="B17" s="128"/>
      <c r="C17" s="128"/>
      <c r="D17" s="105"/>
      <c r="E17" s="142"/>
      <c r="F17" s="153"/>
      <c r="G17" s="142"/>
      <c r="H17" s="142"/>
      <c r="I17" s="142"/>
      <c r="J17" s="142"/>
      <c r="K17" s="142" t="str">
        <f t="shared" si="0"/>
        <v/>
      </c>
      <c r="L17" s="120"/>
    </row>
    <row r="18" spans="1:12" ht="15.75" customHeight="1">
      <c r="A18" s="105"/>
      <c r="B18" s="128"/>
      <c r="C18" s="128"/>
      <c r="D18" s="105"/>
      <c r="E18" s="142"/>
      <c r="F18" s="153"/>
      <c r="G18" s="142"/>
      <c r="H18" s="142"/>
      <c r="I18" s="142"/>
      <c r="J18" s="142"/>
      <c r="K18" s="142" t="str">
        <f>IF(I18=0,"",(J18-I18)/I18*100)</f>
        <v/>
      </c>
      <c r="L18" s="120"/>
    </row>
    <row r="19" spans="1:12" ht="15.75" customHeight="1">
      <c r="A19" s="105"/>
      <c r="B19" s="128"/>
      <c r="C19" s="128"/>
      <c r="D19" s="105"/>
      <c r="E19" s="142"/>
      <c r="F19" s="153"/>
      <c r="G19" s="142"/>
      <c r="H19" s="142"/>
      <c r="I19" s="142"/>
      <c r="J19" s="142"/>
      <c r="K19" s="142" t="str">
        <f t="shared" si="0"/>
        <v/>
      </c>
      <c r="L19" s="120"/>
    </row>
    <row r="20" spans="1:12" ht="15.75" customHeight="1">
      <c r="A20" s="105"/>
      <c r="B20" s="128"/>
      <c r="C20" s="128"/>
      <c r="D20" s="105"/>
      <c r="E20" s="142"/>
      <c r="F20" s="153"/>
      <c r="G20" s="142"/>
      <c r="H20" s="142"/>
      <c r="I20" s="142"/>
      <c r="J20" s="142"/>
      <c r="K20" s="142" t="str">
        <f t="shared" si="0"/>
        <v/>
      </c>
      <c r="L20" s="120"/>
    </row>
    <row r="21" spans="1:12" ht="15.75" customHeight="1">
      <c r="A21" s="105"/>
      <c r="B21" s="128"/>
      <c r="C21" s="128"/>
      <c r="D21" s="105"/>
      <c r="E21" s="142"/>
      <c r="F21" s="153"/>
      <c r="G21" s="142"/>
      <c r="H21" s="142"/>
      <c r="I21" s="142"/>
      <c r="J21" s="142"/>
      <c r="K21" s="142" t="str">
        <f t="shared" si="0"/>
        <v/>
      </c>
      <c r="L21" s="120"/>
    </row>
    <row r="22" spans="1:12" ht="15.75" customHeight="1">
      <c r="A22" s="105"/>
      <c r="B22" s="128"/>
      <c r="C22" s="128"/>
      <c r="D22" s="105"/>
      <c r="E22" s="142"/>
      <c r="F22" s="153"/>
      <c r="G22" s="142"/>
      <c r="H22" s="142"/>
      <c r="I22" s="142"/>
      <c r="J22" s="142"/>
      <c r="K22" s="142" t="str">
        <f t="shared" si="0"/>
        <v/>
      </c>
      <c r="L22" s="120"/>
    </row>
    <row r="23" spans="1:12" ht="15.75" customHeight="1">
      <c r="A23" s="105"/>
      <c r="B23" s="128"/>
      <c r="C23" s="128"/>
      <c r="D23" s="105"/>
      <c r="E23" s="142"/>
      <c r="F23" s="153"/>
      <c r="G23" s="142"/>
      <c r="H23" s="142"/>
      <c r="I23" s="142"/>
      <c r="J23" s="142"/>
      <c r="K23" s="142" t="str">
        <f t="shared" si="0"/>
        <v/>
      </c>
      <c r="L23" s="120"/>
    </row>
    <row r="24" spans="1:12" ht="15.75" customHeight="1">
      <c r="A24" s="105"/>
      <c r="B24" s="128"/>
      <c r="C24" s="128"/>
      <c r="D24" s="105"/>
      <c r="E24" s="142"/>
      <c r="F24" s="153"/>
      <c r="G24" s="142"/>
      <c r="H24" s="142"/>
      <c r="I24" s="142"/>
      <c r="J24" s="142"/>
      <c r="K24" s="142" t="str">
        <f t="shared" si="0"/>
        <v/>
      </c>
      <c r="L24" s="120"/>
    </row>
    <row r="25" spans="1:12" ht="15.75" customHeight="1">
      <c r="A25" s="105"/>
      <c r="B25" s="128"/>
      <c r="C25" s="128"/>
      <c r="D25" s="105"/>
      <c r="E25" s="142"/>
      <c r="F25" s="153"/>
      <c r="G25" s="142"/>
      <c r="H25" s="142"/>
      <c r="I25" s="142"/>
      <c r="J25" s="142"/>
      <c r="K25" s="142" t="str">
        <f t="shared" si="0"/>
        <v/>
      </c>
      <c r="L25" s="120"/>
    </row>
    <row r="26" spans="1:12" ht="15.75" customHeight="1">
      <c r="A26" s="105"/>
      <c r="B26" s="128"/>
      <c r="C26" s="128"/>
      <c r="D26" s="105"/>
      <c r="E26" s="142"/>
      <c r="F26" s="153"/>
      <c r="G26" s="142"/>
      <c r="H26" s="142"/>
      <c r="I26" s="142"/>
      <c r="J26" s="142"/>
      <c r="K26" s="142"/>
      <c r="L26" s="120"/>
    </row>
    <row r="27" spans="1:12" ht="15.75" customHeight="1">
      <c r="A27" s="809" t="s">
        <v>36</v>
      </c>
      <c r="B27" s="810"/>
      <c r="C27" s="120"/>
      <c r="D27" s="120"/>
      <c r="E27" s="142"/>
      <c r="F27" s="120"/>
      <c r="G27" s="142">
        <f>SUM(G6:G26)</f>
        <v>0</v>
      </c>
      <c r="H27" s="142"/>
      <c r="I27" s="142">
        <f>SUM(I6:I26)</f>
        <v>0</v>
      </c>
      <c r="J27" s="142">
        <f>SUM(J6:J26)</f>
        <v>0</v>
      </c>
      <c r="K27" s="142" t="str">
        <f>IF(I27=0,"",(J27-I27)/I27*100)</f>
        <v/>
      </c>
      <c r="L27" s="120"/>
    </row>
    <row r="28" spans="1:12" ht="15.75" customHeight="1">
      <c r="A28" s="101" t="e">
        <f>#REF!&amp;#REF!</f>
        <v>#REF!</v>
      </c>
      <c r="I28" s="115" t="e">
        <f>"评估人员："&amp;#REF!</f>
        <v>#REF!</v>
      </c>
    </row>
    <row r="29" spans="1:12" ht="15.75" customHeight="1">
      <c r="A29" s="101" t="e">
        <f>CONCATENATE(#REF!,#REF!,#REF!,#REF!,#REF!,#REF!,#REF!)</f>
        <v>#REF!</v>
      </c>
    </row>
  </sheetData>
  <mergeCells count="3">
    <mergeCell ref="A2:L2"/>
    <mergeCell ref="A3:L3"/>
    <mergeCell ref="A27:B27"/>
  </mergeCells>
  <phoneticPr fontId="6" type="noConversion"/>
  <hyperlinks>
    <hyperlink ref="B1" location="流动汇总!B6" display="货币资金（现金"/>
    <hyperlink ref="A1" location="索引目录!E8" display="其他货币资金"/>
  </hyperlinks>
  <printOptions horizontalCentered="1"/>
  <pageMargins left="0.35433070866141736" right="0.35433070866141736" top="0.78740157480314965" bottom="0.78740157480314965" header="1.02" footer="0.51181102362204722"/>
  <pageSetup paperSize="9" scale="90" fitToHeight="0" orientation="landscape" horizontalDpi="4294967292" r:id="rId1"/>
  <headerFooter alignWithMargins="0">
    <oddHeader>&amp;R&amp;"宋体,常规"&amp;10表&amp;"Times New Roman,常规"3-1-3
&amp;"宋体,常规"共&amp;"Times New Roman,常规"&amp;N&amp;"宋体,常规"页第&amp;"Times New Roman,常规"&amp;P&amp;"宋体,常规"页</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indexed="15"/>
    <pageSetUpPr fitToPage="1"/>
  </sheetPr>
  <dimension ref="A1:G29"/>
  <sheetViews>
    <sheetView zoomScale="85" workbookViewId="0">
      <selection activeCell="H10" sqref="H10"/>
    </sheetView>
  </sheetViews>
  <sheetFormatPr defaultRowHeight="15.75" customHeight="1" outlineLevelCol="1"/>
  <cols>
    <col min="1" max="1" width="10" style="4" customWidth="1"/>
    <col min="2" max="2" width="25.5" style="4" customWidth="1"/>
    <col min="3" max="3" width="19.125" style="4" customWidth="1" outlineLevel="1"/>
    <col min="4" max="5" width="24" style="4" customWidth="1"/>
    <col min="6" max="6" width="21" style="4" customWidth="1"/>
    <col min="7" max="7" width="17.625" style="4" customWidth="1"/>
    <col min="8" max="16384" width="9" style="4"/>
  </cols>
  <sheetData>
    <row r="1" spans="1:7" ht="12.75">
      <c r="A1" s="195" t="s">
        <v>130</v>
      </c>
      <c r="B1" s="196" t="s">
        <v>409</v>
      </c>
      <c r="C1" s="1"/>
      <c r="D1" s="1"/>
      <c r="E1" s="1"/>
      <c r="F1" s="1"/>
      <c r="G1" s="1"/>
    </row>
    <row r="2" spans="1:7" s="114" customFormat="1" ht="30" customHeight="1">
      <c r="A2" s="790" t="s">
        <v>912</v>
      </c>
      <c r="B2" s="791"/>
      <c r="C2" s="791"/>
      <c r="D2" s="791"/>
      <c r="E2" s="791"/>
      <c r="F2" s="791"/>
      <c r="G2" s="791"/>
    </row>
    <row r="3" spans="1:7" ht="14.1" customHeight="1">
      <c r="A3" s="792" t="e">
        <f>CONCATENATE(#REF!,#REF!,#REF!,#REF!,#REF!,#REF!,#REF!)</f>
        <v>#REF!</v>
      </c>
      <c r="B3" s="792"/>
      <c r="C3" s="792"/>
      <c r="D3" s="792"/>
      <c r="E3" s="792"/>
      <c r="F3" s="792"/>
      <c r="G3" s="792"/>
    </row>
    <row r="4" spans="1:7" ht="15.75" customHeight="1">
      <c r="A4" s="115" t="e">
        <f>#REF!&amp;#REF!</f>
        <v>#REF!</v>
      </c>
      <c r="G4" s="156" t="s">
        <v>3</v>
      </c>
    </row>
    <row r="5" spans="1:7" s="284" customFormat="1" ht="15.75" customHeight="1">
      <c r="A5" s="323" t="s">
        <v>235</v>
      </c>
      <c r="B5" s="323" t="s">
        <v>2</v>
      </c>
      <c r="C5" s="323" t="s">
        <v>426</v>
      </c>
      <c r="D5" s="323" t="s">
        <v>315</v>
      </c>
      <c r="E5" s="323" t="s">
        <v>0</v>
      </c>
      <c r="F5" s="324" t="s">
        <v>19</v>
      </c>
      <c r="G5" s="323" t="s">
        <v>338</v>
      </c>
    </row>
    <row r="6" spans="1:7" ht="15.75" customHeight="1">
      <c r="A6" s="127" t="s">
        <v>40</v>
      </c>
      <c r="B6" s="154" t="s">
        <v>697</v>
      </c>
      <c r="C6" s="142">
        <f>'交易性-股票'!G27</f>
        <v>0</v>
      </c>
      <c r="D6" s="142">
        <f>'交易性-股票'!I27</f>
        <v>0</v>
      </c>
      <c r="E6" s="142">
        <f>'交易性-股票'!K27</f>
        <v>0</v>
      </c>
      <c r="F6" s="142">
        <f>E6-D6</f>
        <v>0</v>
      </c>
      <c r="G6" s="155" t="str">
        <f>IF(D6=0,"",F6/D6*100)</f>
        <v/>
      </c>
    </row>
    <row r="7" spans="1:7" ht="15.75" customHeight="1">
      <c r="A7" s="127" t="s">
        <v>41</v>
      </c>
      <c r="B7" s="154" t="s">
        <v>698</v>
      </c>
      <c r="C7" s="142">
        <f>'交易性-债券'!H27</f>
        <v>0</v>
      </c>
      <c r="D7" s="142">
        <f>'交易性-债券'!J27</f>
        <v>0</v>
      </c>
      <c r="E7" s="142">
        <f>'交易性-债券'!K27</f>
        <v>0</v>
      </c>
      <c r="F7" s="142">
        <f>E7-D7</f>
        <v>0</v>
      </c>
      <c r="G7" s="142" t="str">
        <f>IF(D7=0,"",F7/D7*100)</f>
        <v/>
      </c>
    </row>
    <row r="8" spans="1:7" ht="15.75" customHeight="1">
      <c r="A8" s="127" t="s">
        <v>464</v>
      </c>
      <c r="B8" s="154" t="s">
        <v>470</v>
      </c>
      <c r="C8" s="142">
        <f>'交易性-基金'!H27</f>
        <v>0</v>
      </c>
      <c r="D8" s="142">
        <f>'交易性-基金'!J27</f>
        <v>0</v>
      </c>
      <c r="E8" s="142">
        <f>'交易性-基金'!L27</f>
        <v>0</v>
      </c>
      <c r="F8" s="142">
        <f>E8-D8</f>
        <v>0</v>
      </c>
      <c r="G8" s="142" t="str">
        <f>IF(D8=0,"",F8/D8*100)</f>
        <v/>
      </c>
    </row>
    <row r="9" spans="1:7" ht="15.75" customHeight="1">
      <c r="A9" s="105"/>
      <c r="B9" s="120"/>
      <c r="C9" s="142"/>
      <c r="D9" s="142"/>
      <c r="E9" s="142"/>
      <c r="F9" s="142"/>
      <c r="G9" s="142"/>
    </row>
    <row r="10" spans="1:7" ht="15.75" customHeight="1">
      <c r="A10" s="105"/>
      <c r="B10" s="120"/>
      <c r="C10" s="142"/>
      <c r="D10" s="142"/>
      <c r="E10" s="142"/>
      <c r="F10" s="142"/>
      <c r="G10" s="142"/>
    </row>
    <row r="11" spans="1:7" ht="15.75" customHeight="1">
      <c r="A11" s="105"/>
      <c r="B11" s="120"/>
      <c r="C11" s="142"/>
      <c r="D11" s="142"/>
      <c r="E11" s="142"/>
      <c r="F11" s="142"/>
      <c r="G11" s="142"/>
    </row>
    <row r="12" spans="1:7" ht="15.75" customHeight="1">
      <c r="A12" s="105"/>
      <c r="B12" s="120"/>
      <c r="C12" s="142"/>
      <c r="D12" s="142"/>
      <c r="E12" s="142"/>
      <c r="F12" s="142"/>
      <c r="G12" s="142"/>
    </row>
    <row r="13" spans="1:7" ht="15.75" customHeight="1">
      <c r="A13" s="105"/>
      <c r="B13" s="120"/>
      <c r="C13" s="142"/>
      <c r="D13" s="142"/>
      <c r="E13" s="142"/>
      <c r="F13" s="142"/>
      <c r="G13" s="142"/>
    </row>
    <row r="14" spans="1:7" ht="15.75" customHeight="1">
      <c r="A14" s="105"/>
      <c r="B14" s="120"/>
      <c r="C14" s="142"/>
      <c r="D14" s="142"/>
      <c r="E14" s="142"/>
      <c r="F14" s="142"/>
      <c r="G14" s="142"/>
    </row>
    <row r="15" spans="1:7" ht="15.75" customHeight="1">
      <c r="A15" s="105"/>
      <c r="B15" s="120"/>
      <c r="C15" s="142"/>
      <c r="D15" s="142"/>
      <c r="E15" s="142"/>
      <c r="F15" s="142"/>
      <c r="G15" s="142"/>
    </row>
    <row r="16" spans="1:7" ht="15.75" customHeight="1">
      <c r="A16" s="105"/>
      <c r="B16" s="120"/>
      <c r="C16" s="142"/>
      <c r="D16" s="142"/>
      <c r="E16" s="142"/>
      <c r="F16" s="142"/>
      <c r="G16" s="142"/>
    </row>
    <row r="17" spans="1:7" ht="15.75" customHeight="1">
      <c r="A17" s="105"/>
      <c r="B17" s="120"/>
      <c r="C17" s="142"/>
      <c r="D17" s="142"/>
      <c r="E17" s="142"/>
      <c r="F17" s="142"/>
      <c r="G17" s="142"/>
    </row>
    <row r="18" spans="1:7" ht="15.75" customHeight="1">
      <c r="A18" s="105"/>
      <c r="B18" s="120"/>
      <c r="C18" s="142"/>
      <c r="D18" s="142"/>
      <c r="E18" s="142"/>
      <c r="F18" s="142"/>
      <c r="G18" s="142"/>
    </row>
    <row r="19" spans="1:7" ht="15.75" customHeight="1">
      <c r="A19" s="105"/>
      <c r="B19" s="120"/>
      <c r="C19" s="142"/>
      <c r="D19" s="142"/>
      <c r="E19" s="142"/>
      <c r="F19" s="142"/>
      <c r="G19" s="142"/>
    </row>
    <row r="20" spans="1:7" ht="15.75" customHeight="1">
      <c r="A20" s="105"/>
      <c r="B20" s="120"/>
      <c r="C20" s="142"/>
      <c r="D20" s="142"/>
      <c r="E20" s="142"/>
      <c r="F20" s="142"/>
      <c r="G20" s="142"/>
    </row>
    <row r="21" spans="1:7" ht="15.75" customHeight="1">
      <c r="A21" s="105"/>
      <c r="B21" s="120"/>
      <c r="C21" s="142"/>
      <c r="D21" s="142"/>
      <c r="E21" s="142"/>
      <c r="F21" s="142"/>
      <c r="G21" s="142"/>
    </row>
    <row r="22" spans="1:7" ht="15.75" customHeight="1">
      <c r="A22" s="105"/>
      <c r="B22" s="120"/>
      <c r="C22" s="142"/>
      <c r="D22" s="142"/>
      <c r="E22" s="142"/>
      <c r="F22" s="142"/>
      <c r="G22" s="142"/>
    </row>
    <row r="23" spans="1:7" ht="15.75" customHeight="1">
      <c r="A23" s="105"/>
      <c r="B23" s="120"/>
      <c r="C23" s="142"/>
      <c r="D23" s="142"/>
      <c r="E23" s="142"/>
      <c r="F23" s="142"/>
      <c r="G23" s="142"/>
    </row>
    <row r="24" spans="1:7" ht="15.75" customHeight="1">
      <c r="A24" s="105"/>
      <c r="B24" s="120"/>
      <c r="C24" s="142"/>
      <c r="D24" s="142"/>
      <c r="E24" s="142"/>
      <c r="F24" s="142"/>
      <c r="G24" s="142"/>
    </row>
    <row r="25" spans="1:7" ht="15.75" customHeight="1">
      <c r="A25" s="105"/>
      <c r="B25" s="120"/>
      <c r="C25" s="142"/>
      <c r="D25" s="142"/>
      <c r="E25" s="142"/>
      <c r="F25" s="142"/>
      <c r="G25" s="142"/>
    </row>
    <row r="26" spans="1:7" ht="15.75" customHeight="1">
      <c r="A26" s="105"/>
      <c r="B26" s="120"/>
      <c r="C26" s="142"/>
      <c r="D26" s="142"/>
      <c r="E26" s="142"/>
      <c r="F26" s="142"/>
      <c r="G26" s="142"/>
    </row>
    <row r="27" spans="1:7" ht="15.75" customHeight="1">
      <c r="A27" s="127" t="s">
        <v>337</v>
      </c>
      <c r="B27" s="127" t="s">
        <v>463</v>
      </c>
      <c r="C27" s="142">
        <f>SUM(C6:C26)</f>
        <v>0</v>
      </c>
      <c r="D27" s="142">
        <f>SUM(D6:D26)</f>
        <v>0</v>
      </c>
      <c r="E27" s="142">
        <f>SUM(E6:E26)</f>
        <v>0</v>
      </c>
      <c r="F27" s="142">
        <f>SUM(F6:F26)</f>
        <v>0</v>
      </c>
      <c r="G27" s="142" t="str">
        <f>IF(D27=0,"",F27/D27*100)</f>
        <v/>
      </c>
    </row>
    <row r="28" spans="1:7" ht="15.75" customHeight="1">
      <c r="A28" s="101" t="e">
        <f>#REF!&amp;#REF!</f>
        <v>#REF!</v>
      </c>
      <c r="D28" s="115" t="e">
        <f>"评估人员："&amp;#REF!</f>
        <v>#REF!</v>
      </c>
    </row>
    <row r="29" spans="1:7" ht="15.75" customHeight="1">
      <c r="A29" s="101" t="e">
        <f>CONCATENATE(#REF!,#REF!,#REF!,#REF!,#REF!,#REF!,#REF!)</f>
        <v>#REF!</v>
      </c>
    </row>
  </sheetData>
  <mergeCells count="2">
    <mergeCell ref="A2:G2"/>
    <mergeCell ref="A3:G3"/>
  </mergeCells>
  <phoneticPr fontId="6" type="noConversion"/>
  <hyperlinks>
    <hyperlink ref="A1" location="索引目录!D9" display="短期投资"/>
    <hyperlink ref="B6" location="'交易性-股票'!B1" display="返回"/>
    <hyperlink ref="B7" location="'交易性-债券'!B1" display="返回"/>
    <hyperlink ref="B1" location="流动汇总!B7" display="短期投资"/>
    <hyperlink ref="B8" location="'交易性-基金'!B1" display="返回"/>
  </hyperlinks>
  <printOptions horizontalCentered="1"/>
  <pageMargins left="0.35433070866141736" right="0.35433070866141736" top="0.78740157480314965" bottom="0.78740157480314965" header="1.01" footer="0.51181102362204722"/>
  <pageSetup paperSize="9" scale="93" fitToHeight="0" orientation="landscape" horizontalDpi="4294967292" r:id="rId1"/>
  <headerFooter alignWithMargins="0">
    <oddHeader>&amp;R&amp;"宋体,常规"&amp;10表&amp;"Times New Roman,常规"3-2
&amp;"宋体,常规"共&amp;"Times New Roman,常规"&amp;N&amp;"宋体,常规"页第&amp;"Times New Roman,常规"&amp;P&amp;"宋体,常规"页</oddHead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L29"/>
  <sheetViews>
    <sheetView workbookViewId="0">
      <selection activeCell="H10" sqref="H10"/>
    </sheetView>
  </sheetViews>
  <sheetFormatPr defaultRowHeight="15.75" customHeight="1" outlineLevelCol="1"/>
  <cols>
    <col min="1" max="1" width="7.5" style="4" customWidth="1"/>
    <col min="2" max="2" width="19.625" style="4" customWidth="1"/>
    <col min="3" max="3" width="11.25" style="4" customWidth="1"/>
    <col min="4" max="4" width="8.625" style="4" customWidth="1"/>
    <col min="5" max="5" width="8.375" style="4" customWidth="1"/>
    <col min="6" max="6" width="10.875" style="4" customWidth="1"/>
    <col min="7" max="8" width="15.5" style="4" customWidth="1" outlineLevel="1"/>
    <col min="9" max="9" width="15.5" style="4" customWidth="1"/>
    <col min="10" max="10" width="12.875" style="4" customWidth="1"/>
    <col min="11" max="11" width="14.875" style="4" customWidth="1"/>
    <col min="12" max="12" width="12.875" style="4" customWidth="1"/>
    <col min="13" max="16384" width="9" style="4"/>
  </cols>
  <sheetData>
    <row r="1" spans="1:12" ht="12.75">
      <c r="A1" s="195" t="s">
        <v>130</v>
      </c>
      <c r="B1" s="196" t="s">
        <v>132</v>
      </c>
      <c r="C1" s="1"/>
      <c r="D1" s="1"/>
      <c r="E1" s="1"/>
      <c r="F1" s="1"/>
      <c r="G1" s="1"/>
      <c r="H1" s="1"/>
      <c r="I1" s="1"/>
      <c r="J1" s="1"/>
      <c r="K1" s="1"/>
      <c r="L1" s="1"/>
    </row>
    <row r="2" spans="1:12" s="114" customFormat="1" ht="30" customHeight="1">
      <c r="A2" s="790" t="s">
        <v>911</v>
      </c>
      <c r="B2" s="791"/>
      <c r="C2" s="791"/>
      <c r="D2" s="791"/>
      <c r="E2" s="791"/>
      <c r="F2" s="791"/>
      <c r="G2" s="791"/>
      <c r="H2" s="791"/>
      <c r="I2" s="791"/>
      <c r="J2" s="791"/>
      <c r="K2" s="791"/>
      <c r="L2" s="791"/>
    </row>
    <row r="3" spans="1:12" ht="14.1" customHeight="1">
      <c r="A3" s="792" t="e">
        <f>CONCATENATE(#REF!,#REF!,#REF!,#REF!,#REF!,#REF!,#REF!)</f>
        <v>#REF!</v>
      </c>
      <c r="B3" s="792"/>
      <c r="C3" s="792"/>
      <c r="D3" s="792"/>
      <c r="E3" s="792"/>
      <c r="F3" s="792"/>
      <c r="G3" s="792"/>
      <c r="H3" s="792"/>
      <c r="I3" s="808"/>
      <c r="J3" s="808"/>
      <c r="K3" s="808"/>
      <c r="L3" s="808"/>
    </row>
    <row r="4" spans="1:12" ht="15.75" customHeight="1">
      <c r="A4" s="115" t="e">
        <f>#REF!&amp;#REF!</f>
        <v>#REF!</v>
      </c>
      <c r="L4" s="106" t="s">
        <v>3</v>
      </c>
    </row>
    <row r="5" spans="1:12" s="1" customFormat="1" ht="15.75" customHeight="1">
      <c r="A5" s="2" t="s">
        <v>4</v>
      </c>
      <c r="B5" s="2" t="s">
        <v>42</v>
      </c>
      <c r="C5" s="2" t="s">
        <v>43</v>
      </c>
      <c r="D5" s="2" t="s">
        <v>44</v>
      </c>
      <c r="E5" s="2" t="s">
        <v>45</v>
      </c>
      <c r="F5" s="2" t="s">
        <v>712</v>
      </c>
      <c r="G5" s="2" t="s">
        <v>426</v>
      </c>
      <c r="H5" s="2" t="s">
        <v>710</v>
      </c>
      <c r="I5" s="2" t="s">
        <v>315</v>
      </c>
      <c r="J5" s="2" t="s">
        <v>312</v>
      </c>
      <c r="K5" s="2" t="s">
        <v>0</v>
      </c>
      <c r="L5" s="2" t="s">
        <v>20</v>
      </c>
    </row>
    <row r="6" spans="1:12" ht="15.75" customHeight="1">
      <c r="A6" s="105"/>
      <c r="B6" s="128"/>
      <c r="C6" s="105"/>
      <c r="D6" s="121"/>
      <c r="E6" s="157"/>
      <c r="F6" s="105"/>
      <c r="G6" s="142"/>
      <c r="H6" s="142"/>
      <c r="I6" s="142"/>
      <c r="J6" s="142"/>
      <c r="K6" s="142"/>
      <c r="L6" s="142" t="str">
        <f>IF(I6=0,"",(K6-I6)/I6*100)</f>
        <v/>
      </c>
    </row>
    <row r="7" spans="1:12" ht="15.75" customHeight="1">
      <c r="A7" s="105"/>
      <c r="B7" s="128"/>
      <c r="C7" s="105"/>
      <c r="D7" s="121"/>
      <c r="E7" s="157"/>
      <c r="F7" s="105"/>
      <c r="G7" s="142"/>
      <c r="H7" s="142"/>
      <c r="I7" s="142"/>
      <c r="J7" s="142"/>
      <c r="K7" s="142"/>
      <c r="L7" s="142" t="str">
        <f>IF(I7=0,"",(K7-I7)/I7*100)</f>
        <v/>
      </c>
    </row>
    <row r="8" spans="1:12" ht="15.75" customHeight="1">
      <c r="A8" s="105"/>
      <c r="B8" s="128"/>
      <c r="C8" s="105"/>
      <c r="D8" s="121"/>
      <c r="E8" s="157"/>
      <c r="F8" s="105"/>
      <c r="G8" s="142"/>
      <c r="H8" s="142"/>
      <c r="I8" s="142"/>
      <c r="J8" s="142"/>
      <c r="K8" s="142"/>
      <c r="L8" s="142" t="str">
        <f t="shared" ref="L8:L27" si="0">IF(I8=0,"",(K8-I8)/I8*100)</f>
        <v/>
      </c>
    </row>
    <row r="9" spans="1:12" ht="15.75" customHeight="1">
      <c r="A9" s="105"/>
      <c r="B9" s="128"/>
      <c r="C9" s="105"/>
      <c r="D9" s="121"/>
      <c r="E9" s="157"/>
      <c r="F9" s="105"/>
      <c r="G9" s="142"/>
      <c r="H9" s="142"/>
      <c r="I9" s="142"/>
      <c r="J9" s="142"/>
      <c r="K9" s="142"/>
      <c r="L9" s="142" t="str">
        <f t="shared" si="0"/>
        <v/>
      </c>
    </row>
    <row r="10" spans="1:12" ht="15.75" customHeight="1">
      <c r="A10" s="105"/>
      <c r="B10" s="128"/>
      <c r="C10" s="105"/>
      <c r="D10" s="121"/>
      <c r="E10" s="157"/>
      <c r="F10" s="105"/>
      <c r="G10" s="142"/>
      <c r="H10" s="142"/>
      <c r="I10" s="142"/>
      <c r="J10" s="142"/>
      <c r="K10" s="142"/>
      <c r="L10" s="142" t="str">
        <f t="shared" si="0"/>
        <v/>
      </c>
    </row>
    <row r="11" spans="1:12" ht="15.75" customHeight="1">
      <c r="A11" s="105"/>
      <c r="B11" s="128"/>
      <c r="C11" s="105"/>
      <c r="D11" s="121"/>
      <c r="E11" s="157"/>
      <c r="F11" s="105"/>
      <c r="G11" s="142"/>
      <c r="H11" s="142"/>
      <c r="I11" s="142"/>
      <c r="J11" s="142"/>
      <c r="K11" s="142"/>
      <c r="L11" s="142" t="str">
        <f t="shared" si="0"/>
        <v/>
      </c>
    </row>
    <row r="12" spans="1:12" ht="15.75" customHeight="1">
      <c r="A12" s="105"/>
      <c r="B12" s="128"/>
      <c r="C12" s="105"/>
      <c r="D12" s="121"/>
      <c r="E12" s="157"/>
      <c r="F12" s="105"/>
      <c r="G12" s="142"/>
      <c r="H12" s="142"/>
      <c r="I12" s="142"/>
      <c r="J12" s="142"/>
      <c r="K12" s="142"/>
      <c r="L12" s="142" t="str">
        <f t="shared" si="0"/>
        <v/>
      </c>
    </row>
    <row r="13" spans="1:12" ht="15.75" customHeight="1">
      <c r="A13" s="105"/>
      <c r="B13" s="128"/>
      <c r="C13" s="105"/>
      <c r="D13" s="121"/>
      <c r="E13" s="157"/>
      <c r="F13" s="105"/>
      <c r="G13" s="142"/>
      <c r="H13" s="142"/>
      <c r="I13" s="142"/>
      <c r="J13" s="142"/>
      <c r="K13" s="142"/>
      <c r="L13" s="142" t="str">
        <f t="shared" si="0"/>
        <v/>
      </c>
    </row>
    <row r="14" spans="1:12" ht="15.75" customHeight="1">
      <c r="A14" s="105"/>
      <c r="B14" s="128"/>
      <c r="C14" s="105"/>
      <c r="D14" s="121"/>
      <c r="E14" s="157"/>
      <c r="F14" s="105"/>
      <c r="G14" s="142"/>
      <c r="H14" s="142"/>
      <c r="I14" s="142"/>
      <c r="J14" s="142"/>
      <c r="K14" s="142"/>
      <c r="L14" s="142" t="str">
        <f t="shared" si="0"/>
        <v/>
      </c>
    </row>
    <row r="15" spans="1:12" ht="15.75" customHeight="1">
      <c r="A15" s="105"/>
      <c r="B15" s="128"/>
      <c r="C15" s="105"/>
      <c r="D15" s="121"/>
      <c r="E15" s="157"/>
      <c r="F15" s="105"/>
      <c r="G15" s="142"/>
      <c r="H15" s="142"/>
      <c r="I15" s="142"/>
      <c r="J15" s="142"/>
      <c r="K15" s="142"/>
      <c r="L15" s="142" t="str">
        <f t="shared" si="0"/>
        <v/>
      </c>
    </row>
    <row r="16" spans="1:12" ht="15.75" customHeight="1">
      <c r="A16" s="105"/>
      <c r="B16" s="128"/>
      <c r="C16" s="105"/>
      <c r="D16" s="121"/>
      <c r="E16" s="157"/>
      <c r="F16" s="105"/>
      <c r="G16" s="142"/>
      <c r="H16" s="142"/>
      <c r="I16" s="142"/>
      <c r="J16" s="142"/>
      <c r="K16" s="142"/>
      <c r="L16" s="142" t="str">
        <f t="shared" si="0"/>
        <v/>
      </c>
    </row>
    <row r="17" spans="1:12" ht="15.75" customHeight="1">
      <c r="A17" s="105"/>
      <c r="B17" s="128"/>
      <c r="C17" s="105"/>
      <c r="D17" s="121"/>
      <c r="E17" s="157"/>
      <c r="F17" s="105"/>
      <c r="G17" s="142"/>
      <c r="H17" s="142"/>
      <c r="I17" s="142"/>
      <c r="J17" s="142"/>
      <c r="K17" s="142"/>
      <c r="L17" s="142" t="str">
        <f t="shared" si="0"/>
        <v/>
      </c>
    </row>
    <row r="18" spans="1:12" ht="15.75" customHeight="1">
      <c r="A18" s="105"/>
      <c r="B18" s="128"/>
      <c r="C18" s="105"/>
      <c r="D18" s="121"/>
      <c r="E18" s="157"/>
      <c r="F18" s="105"/>
      <c r="G18" s="142"/>
      <c r="H18" s="142"/>
      <c r="I18" s="142"/>
      <c r="J18" s="142"/>
      <c r="K18" s="142"/>
      <c r="L18" s="142" t="str">
        <f t="shared" si="0"/>
        <v/>
      </c>
    </row>
    <row r="19" spans="1:12" ht="15.75" customHeight="1">
      <c r="A19" s="105"/>
      <c r="B19" s="128"/>
      <c r="C19" s="105"/>
      <c r="D19" s="121"/>
      <c r="E19" s="157"/>
      <c r="F19" s="105"/>
      <c r="G19" s="142"/>
      <c r="H19" s="142"/>
      <c r="I19" s="142"/>
      <c r="J19" s="142"/>
      <c r="K19" s="142"/>
      <c r="L19" s="142" t="str">
        <f t="shared" si="0"/>
        <v/>
      </c>
    </row>
    <row r="20" spans="1:12" ht="15.75" customHeight="1">
      <c r="A20" s="105"/>
      <c r="B20" s="128"/>
      <c r="C20" s="105"/>
      <c r="D20" s="121"/>
      <c r="E20" s="157"/>
      <c r="F20" s="105"/>
      <c r="G20" s="142"/>
      <c r="H20" s="142"/>
      <c r="I20" s="142"/>
      <c r="J20" s="142"/>
      <c r="K20" s="142"/>
      <c r="L20" s="142" t="str">
        <f t="shared" si="0"/>
        <v/>
      </c>
    </row>
    <row r="21" spans="1:12" ht="15.75" customHeight="1">
      <c r="A21" s="105"/>
      <c r="B21" s="128"/>
      <c r="C21" s="105"/>
      <c r="D21" s="121"/>
      <c r="E21" s="157"/>
      <c r="F21" s="105"/>
      <c r="G21" s="142"/>
      <c r="H21" s="142"/>
      <c r="I21" s="142"/>
      <c r="J21" s="142"/>
      <c r="K21" s="142"/>
      <c r="L21" s="142" t="str">
        <f t="shared" si="0"/>
        <v/>
      </c>
    </row>
    <row r="22" spans="1:12" ht="15.75" customHeight="1">
      <c r="A22" s="105"/>
      <c r="B22" s="128"/>
      <c r="C22" s="105"/>
      <c r="D22" s="121"/>
      <c r="E22" s="157"/>
      <c r="F22" s="105"/>
      <c r="G22" s="142"/>
      <c r="H22" s="142"/>
      <c r="I22" s="142"/>
      <c r="J22" s="142"/>
      <c r="K22" s="142"/>
      <c r="L22" s="142" t="str">
        <f t="shared" si="0"/>
        <v/>
      </c>
    </row>
    <row r="23" spans="1:12" ht="15.75" customHeight="1">
      <c r="A23" s="105"/>
      <c r="B23" s="128"/>
      <c r="C23" s="105"/>
      <c r="D23" s="121"/>
      <c r="E23" s="157"/>
      <c r="F23" s="105"/>
      <c r="G23" s="142"/>
      <c r="H23" s="142"/>
      <c r="I23" s="142"/>
      <c r="J23" s="142"/>
      <c r="K23" s="142"/>
      <c r="L23" s="142" t="str">
        <f t="shared" si="0"/>
        <v/>
      </c>
    </row>
    <row r="24" spans="1:12" ht="15.75" customHeight="1">
      <c r="A24" s="105"/>
      <c r="B24" s="128"/>
      <c r="C24" s="105"/>
      <c r="D24" s="121"/>
      <c r="E24" s="157"/>
      <c r="F24" s="105"/>
      <c r="G24" s="142"/>
      <c r="H24" s="142"/>
      <c r="I24" s="142"/>
      <c r="J24" s="142"/>
      <c r="K24" s="142"/>
      <c r="L24" s="142" t="str">
        <f t="shared" si="0"/>
        <v/>
      </c>
    </row>
    <row r="25" spans="1:12" ht="15.75" customHeight="1">
      <c r="A25" s="105"/>
      <c r="B25" s="128"/>
      <c r="C25" s="105"/>
      <c r="D25" s="121"/>
      <c r="E25" s="157"/>
      <c r="F25" s="105"/>
      <c r="G25" s="142"/>
      <c r="H25" s="142"/>
      <c r="I25" s="142"/>
      <c r="J25" s="142"/>
      <c r="K25" s="142"/>
      <c r="L25" s="142" t="str">
        <f t="shared" si="0"/>
        <v/>
      </c>
    </row>
    <row r="26" spans="1:12" ht="15.75" customHeight="1">
      <c r="A26" s="105"/>
      <c r="B26" s="128"/>
      <c r="C26" s="105"/>
      <c r="D26" s="121"/>
      <c r="E26" s="157"/>
      <c r="F26" s="105"/>
      <c r="G26" s="142"/>
      <c r="H26" s="142"/>
      <c r="I26" s="142"/>
      <c r="J26" s="142"/>
      <c r="K26" s="142"/>
      <c r="L26" s="142"/>
    </row>
    <row r="27" spans="1:12" ht="15.75" customHeight="1">
      <c r="A27" s="809" t="s">
        <v>47</v>
      </c>
      <c r="B27" s="810"/>
      <c r="C27" s="120"/>
      <c r="D27" s="121"/>
      <c r="E27" s="120"/>
      <c r="F27" s="120"/>
      <c r="G27" s="142">
        <f>SUM(G6:G26)</f>
        <v>0</v>
      </c>
      <c r="H27" s="142"/>
      <c r="I27" s="142">
        <f>SUM(I6:I26)</f>
        <v>0</v>
      </c>
      <c r="J27" s="142"/>
      <c r="K27" s="142">
        <f>SUM(K6:K26)</f>
        <v>0</v>
      </c>
      <c r="L27" s="142" t="str">
        <f t="shared" si="0"/>
        <v/>
      </c>
    </row>
    <row r="28" spans="1:12" ht="15.75" customHeight="1">
      <c r="A28" s="101" t="e">
        <f>#REF!&amp;#REF!</f>
        <v>#REF!</v>
      </c>
      <c r="I28" s="115" t="e">
        <f>"评估人员："&amp;#REF!</f>
        <v>#REF!</v>
      </c>
    </row>
    <row r="29" spans="1:12" ht="15.75" customHeight="1">
      <c r="A29" s="101" t="e">
        <f>CONCATENATE(#REF!,#REF!,#REF!,#REF!,#REF!,#REF!,#REF!)</f>
        <v>#REF!</v>
      </c>
    </row>
  </sheetData>
  <mergeCells count="3">
    <mergeCell ref="A2:L2"/>
    <mergeCell ref="A3:L3"/>
    <mergeCell ref="A27:B27"/>
  </mergeCells>
  <phoneticPr fontId="6" type="noConversion"/>
  <hyperlinks>
    <hyperlink ref="A1" location="索引目录!E9" display="股票投资"/>
    <hyperlink ref="B1" location="交易性金融资产汇总!B6" display="交易性金融资产-股票投资"/>
  </hyperlinks>
  <printOptions horizontalCentered="1"/>
  <pageMargins left="0.35433070866141736" right="0.35433070866141736" top="0.78740157480314965" bottom="0.78740157480314965" header="1.01" footer="0.51181102362204722"/>
  <pageSetup paperSize="9" scale="85" fitToHeight="0" orientation="landscape" horizontalDpi="4294967292" r:id="rId1"/>
  <headerFooter alignWithMargins="0">
    <oddHeader>&amp;R&amp;"宋体,常规"&amp;10表&amp;"Times New Roman,常规"3-2-1
&amp;"宋体,常规"共&amp;"Times New Roman,常规"&amp;N&amp;"宋体,常规"页第&amp;"Times New Roman,常规"&amp;P&amp;"宋体,常规"页</oddHead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L29"/>
  <sheetViews>
    <sheetView workbookViewId="0">
      <selection activeCell="H10" sqref="H10"/>
    </sheetView>
  </sheetViews>
  <sheetFormatPr defaultRowHeight="15.75" customHeight="1" outlineLevelCol="1"/>
  <cols>
    <col min="1" max="1" width="5.5" style="4" customWidth="1"/>
    <col min="2" max="2" width="19.875" style="4" customWidth="1"/>
    <col min="3" max="3" width="10.875" style="4" customWidth="1"/>
    <col min="4" max="4" width="10.5" style="4" customWidth="1"/>
    <col min="5" max="5" width="10.875" style="4" customWidth="1"/>
    <col min="6" max="6" width="9" style="4"/>
    <col min="7" max="7" width="11.125" style="4" customWidth="1"/>
    <col min="8" max="8" width="14.5" style="4" customWidth="1" outlineLevel="1"/>
    <col min="9" max="9" width="12.375" style="4" customWidth="1" outlineLevel="1"/>
    <col min="10" max="10" width="16.125" style="4" customWidth="1"/>
    <col min="11" max="11" width="16.625" style="4" customWidth="1"/>
    <col min="12" max="12" width="11.75" style="4" customWidth="1"/>
    <col min="13" max="16384" width="9" style="4"/>
  </cols>
  <sheetData>
    <row r="1" spans="1:12" ht="12.75">
      <c r="A1" s="195" t="s">
        <v>130</v>
      </c>
      <c r="B1" s="196" t="s">
        <v>132</v>
      </c>
      <c r="C1" s="1"/>
      <c r="D1" s="1"/>
      <c r="E1" s="1"/>
      <c r="F1" s="1"/>
      <c r="G1" s="1"/>
      <c r="H1" s="1"/>
      <c r="I1" s="1"/>
      <c r="J1" s="1"/>
      <c r="K1" s="1"/>
      <c r="L1" s="1"/>
    </row>
    <row r="2" spans="1:12" s="114" customFormat="1" ht="30" customHeight="1">
      <c r="A2" s="790" t="s">
        <v>910</v>
      </c>
      <c r="B2" s="791"/>
      <c r="C2" s="791"/>
      <c r="D2" s="791"/>
      <c r="E2" s="791"/>
      <c r="F2" s="791"/>
      <c r="G2" s="791"/>
      <c r="H2" s="791"/>
      <c r="I2" s="791"/>
      <c r="J2" s="791"/>
      <c r="K2" s="791"/>
      <c r="L2" s="791"/>
    </row>
    <row r="3" spans="1:12" ht="14.1" customHeight="1">
      <c r="A3" s="792" t="e">
        <f>CONCATENATE(#REF!,#REF!,#REF!,#REF!,#REF!,#REF!,#REF!)</f>
        <v>#REF!</v>
      </c>
      <c r="B3" s="792"/>
      <c r="C3" s="792"/>
      <c r="D3" s="792"/>
      <c r="E3" s="792"/>
      <c r="F3" s="792"/>
      <c r="G3" s="792"/>
      <c r="H3" s="792"/>
      <c r="I3" s="792"/>
      <c r="J3" s="808"/>
      <c r="K3" s="808"/>
      <c r="L3" s="808"/>
    </row>
    <row r="4" spans="1:12" ht="15.75" customHeight="1">
      <c r="A4" s="115" t="e">
        <f>#REF!&amp;#REF!</f>
        <v>#REF!</v>
      </c>
      <c r="L4" s="106" t="s">
        <v>3</v>
      </c>
    </row>
    <row r="5" spans="1:12" s="1" customFormat="1" ht="15.75" customHeight="1">
      <c r="A5" s="2" t="s">
        <v>4</v>
      </c>
      <c r="B5" s="2" t="s">
        <v>42</v>
      </c>
      <c r="C5" s="2" t="s">
        <v>48</v>
      </c>
      <c r="D5" s="2" t="s">
        <v>49</v>
      </c>
      <c r="E5" s="2" t="s">
        <v>44</v>
      </c>
      <c r="F5" s="2" t="s">
        <v>50</v>
      </c>
      <c r="G5" s="2" t="s">
        <v>712</v>
      </c>
      <c r="H5" s="2" t="s">
        <v>426</v>
      </c>
      <c r="I5" s="2" t="s">
        <v>710</v>
      </c>
      <c r="J5" s="2" t="s">
        <v>315</v>
      </c>
      <c r="K5" s="2" t="s">
        <v>0</v>
      </c>
      <c r="L5" s="2" t="s">
        <v>20</v>
      </c>
    </row>
    <row r="6" spans="1:12" ht="15.75" customHeight="1">
      <c r="A6" s="105"/>
      <c r="B6" s="128"/>
      <c r="C6" s="105"/>
      <c r="D6" s="121"/>
      <c r="E6" s="121"/>
      <c r="F6" s="105"/>
      <c r="G6" s="105"/>
      <c r="H6" s="142"/>
      <c r="I6" s="142"/>
      <c r="J6" s="142"/>
      <c r="K6" s="142"/>
      <c r="L6" s="142" t="str">
        <f>IF(J6=0,"",(K6-J6)/J6*100)</f>
        <v/>
      </c>
    </row>
    <row r="7" spans="1:12" ht="15.75" customHeight="1">
      <c r="A7" s="105"/>
      <c r="B7" s="128"/>
      <c r="C7" s="105"/>
      <c r="D7" s="121"/>
      <c r="E7" s="121"/>
      <c r="F7" s="105"/>
      <c r="G7" s="105"/>
      <c r="H7" s="142"/>
      <c r="I7" s="142"/>
      <c r="J7" s="142"/>
      <c r="K7" s="142"/>
      <c r="L7" s="142" t="str">
        <f t="shared" ref="L7:L25" si="0">IF(J7=0,"",(K7-J7)/J7*100)</f>
        <v/>
      </c>
    </row>
    <row r="8" spans="1:12" ht="15.75" customHeight="1">
      <c r="A8" s="105"/>
      <c r="B8" s="128"/>
      <c r="C8" s="105"/>
      <c r="D8" s="121"/>
      <c r="E8" s="121"/>
      <c r="F8" s="105"/>
      <c r="G8" s="105"/>
      <c r="H8" s="142"/>
      <c r="I8" s="142"/>
      <c r="J8" s="142"/>
      <c r="K8" s="142"/>
      <c r="L8" s="142" t="str">
        <f t="shared" si="0"/>
        <v/>
      </c>
    </row>
    <row r="9" spans="1:12" ht="15.75" customHeight="1">
      <c r="A9" s="105"/>
      <c r="B9" s="128"/>
      <c r="C9" s="105"/>
      <c r="D9" s="121"/>
      <c r="E9" s="121"/>
      <c r="F9" s="105"/>
      <c r="G9" s="105"/>
      <c r="H9" s="142"/>
      <c r="I9" s="142"/>
      <c r="J9" s="142"/>
      <c r="K9" s="142"/>
      <c r="L9" s="142" t="str">
        <f t="shared" si="0"/>
        <v/>
      </c>
    </row>
    <row r="10" spans="1:12" ht="15.75" customHeight="1">
      <c r="A10" s="105"/>
      <c r="B10" s="128"/>
      <c r="C10" s="105"/>
      <c r="D10" s="121"/>
      <c r="E10" s="121"/>
      <c r="F10" s="105"/>
      <c r="G10" s="105"/>
      <c r="H10" s="142"/>
      <c r="I10" s="142"/>
      <c r="J10" s="142"/>
      <c r="K10" s="142"/>
      <c r="L10" s="142" t="str">
        <f t="shared" si="0"/>
        <v/>
      </c>
    </row>
    <row r="11" spans="1:12" ht="15.75" customHeight="1">
      <c r="A11" s="105"/>
      <c r="B11" s="128"/>
      <c r="C11" s="105"/>
      <c r="D11" s="121"/>
      <c r="E11" s="121"/>
      <c r="F11" s="105"/>
      <c r="G11" s="105"/>
      <c r="H11" s="142"/>
      <c r="I11" s="142"/>
      <c r="J11" s="142"/>
      <c r="K11" s="142"/>
      <c r="L11" s="142" t="str">
        <f t="shared" si="0"/>
        <v/>
      </c>
    </row>
    <row r="12" spans="1:12" ht="15.75" customHeight="1">
      <c r="A12" s="105"/>
      <c r="B12" s="128"/>
      <c r="C12" s="105"/>
      <c r="D12" s="121"/>
      <c r="E12" s="121"/>
      <c r="F12" s="105"/>
      <c r="G12" s="105"/>
      <c r="H12" s="142"/>
      <c r="I12" s="142"/>
      <c r="J12" s="142"/>
      <c r="K12" s="142"/>
      <c r="L12" s="142" t="str">
        <f t="shared" si="0"/>
        <v/>
      </c>
    </row>
    <row r="13" spans="1:12" ht="15.75" customHeight="1">
      <c r="A13" s="105"/>
      <c r="B13" s="128"/>
      <c r="C13" s="105"/>
      <c r="D13" s="121"/>
      <c r="E13" s="121"/>
      <c r="F13" s="105"/>
      <c r="G13" s="105"/>
      <c r="H13" s="142"/>
      <c r="I13" s="142"/>
      <c r="J13" s="142"/>
      <c r="K13" s="142"/>
      <c r="L13" s="142" t="str">
        <f t="shared" si="0"/>
        <v/>
      </c>
    </row>
    <row r="14" spans="1:12" ht="15.75" customHeight="1">
      <c r="A14" s="105"/>
      <c r="B14" s="128"/>
      <c r="C14" s="105"/>
      <c r="D14" s="121"/>
      <c r="E14" s="121"/>
      <c r="F14" s="105"/>
      <c r="G14" s="105"/>
      <c r="H14" s="142"/>
      <c r="I14" s="142"/>
      <c r="J14" s="142"/>
      <c r="K14" s="142"/>
      <c r="L14" s="142" t="str">
        <f t="shared" si="0"/>
        <v/>
      </c>
    </row>
    <row r="15" spans="1:12" ht="15.75" customHeight="1">
      <c r="A15" s="105"/>
      <c r="B15" s="128"/>
      <c r="C15" s="105"/>
      <c r="D15" s="121"/>
      <c r="E15" s="121"/>
      <c r="F15" s="105"/>
      <c r="G15" s="105"/>
      <c r="H15" s="142"/>
      <c r="I15" s="142"/>
      <c r="J15" s="142"/>
      <c r="K15" s="142"/>
      <c r="L15" s="142" t="str">
        <f t="shared" si="0"/>
        <v/>
      </c>
    </row>
    <row r="16" spans="1:12" ht="15.75" customHeight="1">
      <c r="A16" s="105"/>
      <c r="B16" s="128"/>
      <c r="C16" s="105"/>
      <c r="D16" s="121"/>
      <c r="E16" s="121"/>
      <c r="F16" s="105"/>
      <c r="G16" s="105"/>
      <c r="H16" s="142"/>
      <c r="I16" s="142"/>
      <c r="J16" s="142"/>
      <c r="K16" s="142"/>
      <c r="L16" s="142" t="str">
        <f t="shared" si="0"/>
        <v/>
      </c>
    </row>
    <row r="17" spans="1:12" ht="15.75" customHeight="1">
      <c r="A17" s="105"/>
      <c r="B17" s="128"/>
      <c r="C17" s="105"/>
      <c r="D17" s="121"/>
      <c r="E17" s="121"/>
      <c r="F17" s="105"/>
      <c r="G17" s="105"/>
      <c r="H17" s="142"/>
      <c r="I17" s="142"/>
      <c r="J17" s="142"/>
      <c r="K17" s="142"/>
      <c r="L17" s="142" t="str">
        <f t="shared" si="0"/>
        <v/>
      </c>
    </row>
    <row r="18" spans="1:12" ht="15.75" customHeight="1">
      <c r="A18" s="105"/>
      <c r="B18" s="128"/>
      <c r="C18" s="105"/>
      <c r="D18" s="121"/>
      <c r="E18" s="121"/>
      <c r="F18" s="105"/>
      <c r="G18" s="105"/>
      <c r="H18" s="142"/>
      <c r="I18" s="142"/>
      <c r="J18" s="142"/>
      <c r="K18" s="142"/>
      <c r="L18" s="142" t="str">
        <f t="shared" si="0"/>
        <v/>
      </c>
    </row>
    <row r="19" spans="1:12" ht="15.75" customHeight="1">
      <c r="A19" s="105"/>
      <c r="B19" s="128"/>
      <c r="C19" s="105"/>
      <c r="D19" s="121"/>
      <c r="E19" s="121"/>
      <c r="F19" s="105"/>
      <c r="G19" s="105"/>
      <c r="H19" s="142"/>
      <c r="I19" s="142"/>
      <c r="J19" s="142"/>
      <c r="K19" s="142"/>
      <c r="L19" s="142" t="str">
        <f t="shared" si="0"/>
        <v/>
      </c>
    </row>
    <row r="20" spans="1:12" ht="15.75" customHeight="1">
      <c r="A20" s="105"/>
      <c r="B20" s="128"/>
      <c r="C20" s="105"/>
      <c r="D20" s="121"/>
      <c r="E20" s="121"/>
      <c r="F20" s="105"/>
      <c r="G20" s="105"/>
      <c r="H20" s="142"/>
      <c r="I20" s="142"/>
      <c r="J20" s="142"/>
      <c r="K20" s="142"/>
      <c r="L20" s="142" t="str">
        <f t="shared" si="0"/>
        <v/>
      </c>
    </row>
    <row r="21" spans="1:12" ht="15.75" customHeight="1">
      <c r="A21" s="105"/>
      <c r="B21" s="128"/>
      <c r="C21" s="105"/>
      <c r="D21" s="121"/>
      <c r="E21" s="121"/>
      <c r="F21" s="105"/>
      <c r="G21" s="105"/>
      <c r="H21" s="142"/>
      <c r="I21" s="142"/>
      <c r="J21" s="142"/>
      <c r="K21" s="142"/>
      <c r="L21" s="142" t="str">
        <f t="shared" si="0"/>
        <v/>
      </c>
    </row>
    <row r="22" spans="1:12" ht="15.75" customHeight="1">
      <c r="A22" s="105"/>
      <c r="B22" s="128"/>
      <c r="C22" s="105"/>
      <c r="D22" s="121"/>
      <c r="E22" s="121"/>
      <c r="F22" s="105"/>
      <c r="G22" s="105"/>
      <c r="H22" s="142"/>
      <c r="I22" s="142"/>
      <c r="J22" s="142"/>
      <c r="K22" s="142"/>
      <c r="L22" s="142" t="str">
        <f t="shared" si="0"/>
        <v/>
      </c>
    </row>
    <row r="23" spans="1:12" ht="15.75" customHeight="1">
      <c r="A23" s="105"/>
      <c r="B23" s="128"/>
      <c r="C23" s="105"/>
      <c r="D23" s="121"/>
      <c r="E23" s="121"/>
      <c r="F23" s="105"/>
      <c r="G23" s="105"/>
      <c r="H23" s="142"/>
      <c r="I23" s="142"/>
      <c r="J23" s="142"/>
      <c r="K23" s="142"/>
      <c r="L23" s="142" t="str">
        <f t="shared" si="0"/>
        <v/>
      </c>
    </row>
    <row r="24" spans="1:12" ht="15.75" customHeight="1">
      <c r="A24" s="105"/>
      <c r="B24" s="128"/>
      <c r="C24" s="105"/>
      <c r="D24" s="121"/>
      <c r="E24" s="121"/>
      <c r="F24" s="105"/>
      <c r="G24" s="105"/>
      <c r="H24" s="142"/>
      <c r="I24" s="142"/>
      <c r="J24" s="142"/>
      <c r="K24" s="142"/>
      <c r="L24" s="142" t="str">
        <f t="shared" si="0"/>
        <v/>
      </c>
    </row>
    <row r="25" spans="1:12" ht="15.75" customHeight="1">
      <c r="A25" s="105"/>
      <c r="B25" s="128"/>
      <c r="C25" s="105"/>
      <c r="D25" s="121"/>
      <c r="E25" s="121"/>
      <c r="F25" s="105"/>
      <c r="G25" s="105"/>
      <c r="H25" s="142"/>
      <c r="I25" s="142"/>
      <c r="J25" s="142"/>
      <c r="K25" s="142"/>
      <c r="L25" s="142" t="str">
        <f t="shared" si="0"/>
        <v/>
      </c>
    </row>
    <row r="26" spans="1:12" ht="15.75" customHeight="1">
      <c r="A26" s="105"/>
      <c r="B26" s="128"/>
      <c r="C26" s="105"/>
      <c r="D26" s="121"/>
      <c r="E26" s="121"/>
      <c r="F26" s="105"/>
      <c r="G26" s="105"/>
      <c r="H26" s="142"/>
      <c r="I26" s="142"/>
      <c r="J26" s="142"/>
      <c r="K26" s="142"/>
      <c r="L26" s="142"/>
    </row>
    <row r="27" spans="1:12" ht="15.75" customHeight="1">
      <c r="A27" s="809" t="s">
        <v>47</v>
      </c>
      <c r="B27" s="810"/>
      <c r="C27" s="120"/>
      <c r="D27" s="121"/>
      <c r="E27" s="121"/>
      <c r="F27" s="120"/>
      <c r="G27" s="120"/>
      <c r="H27" s="142">
        <f>SUM(H6:H26)</f>
        <v>0</v>
      </c>
      <c r="I27" s="142"/>
      <c r="J27" s="142">
        <f>SUM(J6:J26)</f>
        <v>0</v>
      </c>
      <c r="K27" s="142">
        <f>SUM(K6:K26)</f>
        <v>0</v>
      </c>
      <c r="L27" s="142" t="str">
        <f>IF(J27=0,"",(K27-J27)/J27*100)</f>
        <v/>
      </c>
    </row>
    <row r="28" spans="1:12" ht="15.75" customHeight="1">
      <c r="A28" s="101" t="e">
        <f>#REF!&amp;#REF!</f>
        <v>#REF!</v>
      </c>
      <c r="J28" s="115" t="e">
        <f>"评估人员："&amp;#REF!</f>
        <v>#REF!</v>
      </c>
    </row>
    <row r="29" spans="1:12" ht="15.75" customHeight="1">
      <c r="A29" s="101" t="e">
        <f>CONCATENATE(#REF!,#REF!,#REF!,#REF!,#REF!,#REF!,#REF!)</f>
        <v>#REF!</v>
      </c>
    </row>
  </sheetData>
  <mergeCells count="3">
    <mergeCell ref="A2:L2"/>
    <mergeCell ref="A3:L3"/>
    <mergeCell ref="A27:B27"/>
  </mergeCells>
  <phoneticPr fontId="6" type="noConversion"/>
  <hyperlinks>
    <hyperlink ref="A1" location="索引目录!E10" display="债券投资"/>
    <hyperlink ref="B1" location="交易性金融资产汇总!B7" display="交易性金融资产-债券投资"/>
  </hyperlinks>
  <printOptions horizontalCentered="1"/>
  <pageMargins left="0.35433070866141736" right="0.35433070866141736" top="0.78740157480314965" bottom="0.78740157480314965" header="1.03" footer="0.51181102362204722"/>
  <pageSetup paperSize="9" scale="88" fitToHeight="0" orientation="landscape" horizontalDpi="4294967292" r:id="rId1"/>
  <headerFooter alignWithMargins="0">
    <oddHeader>&amp;R&amp;"宋体,常规"&amp;10表&amp;"Times New Roman,常规"3-2-2
&amp;"宋体,常规"共&amp;"Times New Roman,常规"&amp;N&amp;"宋体,常规"页第&amp;"Times New Roman,常规"&amp;P&amp;"宋体,常规"页</oddHead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pageSetUpPr fitToPage="1"/>
  </sheetPr>
  <dimension ref="A1:M29"/>
  <sheetViews>
    <sheetView workbookViewId="0">
      <selection activeCell="H10" sqref="H10"/>
    </sheetView>
  </sheetViews>
  <sheetFormatPr defaultRowHeight="15.75" customHeight="1" outlineLevelCol="1"/>
  <cols>
    <col min="1" max="1" width="5.875" style="4" customWidth="1"/>
    <col min="2" max="2" width="15.625" style="4" customWidth="1"/>
    <col min="3" max="3" width="13.75" style="4" customWidth="1"/>
    <col min="4" max="4" width="7.25" style="4" customWidth="1"/>
    <col min="5" max="5" width="7.375" style="4" customWidth="1"/>
    <col min="6" max="6" width="9.375" style="4" bestFit="1" customWidth="1"/>
    <col min="7" max="7" width="9.375" style="4" customWidth="1"/>
    <col min="8" max="9" width="15.25" style="4" customWidth="1" outlineLevel="1"/>
    <col min="10" max="10" width="15.25" style="4" customWidth="1"/>
    <col min="11" max="11" width="12.875" style="4" customWidth="1"/>
    <col min="12" max="12" width="13.75" style="4" customWidth="1"/>
    <col min="13" max="13" width="12.875" style="4" customWidth="1"/>
    <col min="14" max="16384" width="9" style="4"/>
  </cols>
  <sheetData>
    <row r="1" spans="1:13" ht="12.75">
      <c r="A1" s="195" t="s">
        <v>686</v>
      </c>
      <c r="B1" s="196" t="s">
        <v>132</v>
      </c>
      <c r="C1" s="1"/>
      <c r="D1" s="1"/>
      <c r="E1" s="1"/>
      <c r="F1" s="1"/>
      <c r="G1" s="1"/>
      <c r="H1" s="1"/>
      <c r="I1" s="1"/>
      <c r="J1" s="1"/>
      <c r="K1" s="1"/>
      <c r="L1" s="1"/>
      <c r="M1" s="1"/>
    </row>
    <row r="2" spans="1:13" s="114" customFormat="1" ht="30" customHeight="1">
      <c r="A2" s="790" t="s">
        <v>909</v>
      </c>
      <c r="B2" s="791"/>
      <c r="C2" s="791"/>
      <c r="D2" s="791"/>
      <c r="E2" s="791"/>
      <c r="F2" s="791"/>
      <c r="G2" s="791"/>
      <c r="H2" s="791"/>
      <c r="I2" s="791"/>
      <c r="J2" s="791"/>
      <c r="K2" s="791"/>
      <c r="L2" s="791"/>
      <c r="M2" s="791"/>
    </row>
    <row r="3" spans="1:13" ht="14.1" customHeight="1">
      <c r="A3" s="792" t="e">
        <f>CONCATENATE(#REF!,#REF!,#REF!,#REF!,#REF!,#REF!,#REF!)</f>
        <v>#REF!</v>
      </c>
      <c r="B3" s="792"/>
      <c r="C3" s="792"/>
      <c r="D3" s="792"/>
      <c r="E3" s="792"/>
      <c r="F3" s="792"/>
      <c r="G3" s="792"/>
      <c r="H3" s="792"/>
      <c r="I3" s="792"/>
      <c r="J3" s="808"/>
      <c r="K3" s="808"/>
      <c r="L3" s="808"/>
      <c r="M3" s="808"/>
    </row>
    <row r="4" spans="1:13" ht="15.75" customHeight="1">
      <c r="A4" s="115" t="e">
        <f>#REF!&amp;#REF!</f>
        <v>#REF!</v>
      </c>
      <c r="M4" s="106" t="s">
        <v>3</v>
      </c>
    </row>
    <row r="5" spans="1:13" s="1" customFormat="1" ht="15.75" customHeight="1">
      <c r="A5" s="2" t="s">
        <v>4</v>
      </c>
      <c r="B5" s="2" t="s">
        <v>465</v>
      </c>
      <c r="C5" s="2" t="s">
        <v>466</v>
      </c>
      <c r="D5" s="2" t="s">
        <v>468</v>
      </c>
      <c r="E5" s="2" t="s">
        <v>44</v>
      </c>
      <c r="F5" s="2" t="s">
        <v>467</v>
      </c>
      <c r="G5" s="2" t="s">
        <v>712</v>
      </c>
      <c r="H5" s="2" t="s">
        <v>426</v>
      </c>
      <c r="I5" s="2" t="s">
        <v>710</v>
      </c>
      <c r="J5" s="2" t="s">
        <v>315</v>
      </c>
      <c r="K5" s="2" t="s">
        <v>469</v>
      </c>
      <c r="L5" s="2" t="s">
        <v>0</v>
      </c>
      <c r="M5" s="2" t="s">
        <v>20</v>
      </c>
    </row>
    <row r="6" spans="1:13" ht="15.75" customHeight="1">
      <c r="A6" s="105"/>
      <c r="B6" s="128"/>
      <c r="C6" s="105"/>
      <c r="D6" s="121"/>
      <c r="E6" s="121"/>
      <c r="F6" s="105"/>
      <c r="G6" s="105"/>
      <c r="H6" s="142"/>
      <c r="I6" s="142"/>
      <c r="J6" s="142"/>
      <c r="K6" s="142"/>
      <c r="L6" s="142"/>
      <c r="M6" s="142" t="str">
        <f t="shared" ref="M6:M25" si="0">IF(J6=0,"",(L6-J6)/J6*100)</f>
        <v/>
      </c>
    </row>
    <row r="7" spans="1:13" ht="15.75" customHeight="1">
      <c r="A7" s="105"/>
      <c r="B7" s="128"/>
      <c r="C7" s="105"/>
      <c r="D7" s="121"/>
      <c r="E7" s="157"/>
      <c r="F7" s="105"/>
      <c r="G7" s="105"/>
      <c r="H7" s="142"/>
      <c r="I7" s="142"/>
      <c r="J7" s="142"/>
      <c r="K7" s="142"/>
      <c r="L7" s="142"/>
      <c r="M7" s="142" t="str">
        <f t="shared" si="0"/>
        <v/>
      </c>
    </row>
    <row r="8" spans="1:13" ht="15.75" customHeight="1">
      <c r="A8" s="105"/>
      <c r="B8" s="128"/>
      <c r="C8" s="105"/>
      <c r="D8" s="121"/>
      <c r="E8" s="157"/>
      <c r="F8" s="105"/>
      <c r="G8" s="105"/>
      <c r="H8" s="142"/>
      <c r="I8" s="142"/>
      <c r="J8" s="142"/>
      <c r="K8" s="142"/>
      <c r="L8" s="142"/>
      <c r="M8" s="142" t="str">
        <f t="shared" si="0"/>
        <v/>
      </c>
    </row>
    <row r="9" spans="1:13" ht="15.75" customHeight="1">
      <c r="A9" s="105"/>
      <c r="B9" s="128"/>
      <c r="C9" s="105"/>
      <c r="D9" s="121"/>
      <c r="E9" s="157"/>
      <c r="F9" s="105"/>
      <c r="G9" s="105"/>
      <c r="H9" s="142"/>
      <c r="I9" s="142"/>
      <c r="J9" s="142"/>
      <c r="K9" s="142"/>
      <c r="L9" s="142"/>
      <c r="M9" s="142" t="str">
        <f t="shared" si="0"/>
        <v/>
      </c>
    </row>
    <row r="10" spans="1:13" ht="15.75" customHeight="1">
      <c r="A10" s="105"/>
      <c r="B10" s="128"/>
      <c r="C10" s="105"/>
      <c r="D10" s="121"/>
      <c r="E10" s="157"/>
      <c r="F10" s="105"/>
      <c r="G10" s="105"/>
      <c r="H10" s="142"/>
      <c r="I10" s="142"/>
      <c r="J10" s="142"/>
      <c r="K10" s="142"/>
      <c r="L10" s="142"/>
      <c r="M10" s="142" t="str">
        <f t="shared" si="0"/>
        <v/>
      </c>
    </row>
    <row r="11" spans="1:13" ht="15.75" customHeight="1">
      <c r="A11" s="105"/>
      <c r="B11" s="128"/>
      <c r="C11" s="105"/>
      <c r="D11" s="121"/>
      <c r="E11" s="157"/>
      <c r="F11" s="105"/>
      <c r="G11" s="105"/>
      <c r="H11" s="142"/>
      <c r="I11" s="142"/>
      <c r="J11" s="142"/>
      <c r="K11" s="142"/>
      <c r="L11" s="142"/>
      <c r="M11" s="142" t="str">
        <f t="shared" si="0"/>
        <v/>
      </c>
    </row>
    <row r="12" spans="1:13" ht="15.75" customHeight="1">
      <c r="A12" s="105"/>
      <c r="B12" s="128"/>
      <c r="C12" s="105"/>
      <c r="D12" s="121"/>
      <c r="E12" s="157"/>
      <c r="F12" s="105"/>
      <c r="G12" s="105"/>
      <c r="H12" s="142"/>
      <c r="I12" s="142"/>
      <c r="J12" s="142"/>
      <c r="K12" s="142"/>
      <c r="L12" s="142"/>
      <c r="M12" s="142" t="str">
        <f t="shared" si="0"/>
        <v/>
      </c>
    </row>
    <row r="13" spans="1:13" ht="15.75" customHeight="1">
      <c r="A13" s="105"/>
      <c r="B13" s="128"/>
      <c r="C13" s="105"/>
      <c r="D13" s="121"/>
      <c r="E13" s="157"/>
      <c r="F13" s="105"/>
      <c r="G13" s="105"/>
      <c r="H13" s="142"/>
      <c r="I13" s="142"/>
      <c r="J13" s="142"/>
      <c r="K13" s="142"/>
      <c r="L13" s="142"/>
      <c r="M13" s="142" t="str">
        <f t="shared" si="0"/>
        <v/>
      </c>
    </row>
    <row r="14" spans="1:13" ht="15.75" customHeight="1">
      <c r="A14" s="105"/>
      <c r="B14" s="128"/>
      <c r="C14" s="105"/>
      <c r="D14" s="121"/>
      <c r="E14" s="157"/>
      <c r="F14" s="105"/>
      <c r="G14" s="105"/>
      <c r="H14" s="142"/>
      <c r="I14" s="142"/>
      <c r="J14" s="142"/>
      <c r="K14" s="142"/>
      <c r="L14" s="142"/>
      <c r="M14" s="142" t="str">
        <f>IF(J14=0,"",(L14-J14)/J14*100)</f>
        <v/>
      </c>
    </row>
    <row r="15" spans="1:13" ht="15.75" customHeight="1">
      <c r="A15" s="105"/>
      <c r="B15" s="128"/>
      <c r="C15" s="105"/>
      <c r="D15" s="121"/>
      <c r="E15" s="157"/>
      <c r="F15" s="105"/>
      <c r="G15" s="105"/>
      <c r="H15" s="142"/>
      <c r="I15" s="142"/>
      <c r="J15" s="142"/>
      <c r="K15" s="142"/>
      <c r="L15" s="142"/>
      <c r="M15" s="142" t="str">
        <f t="shared" si="0"/>
        <v/>
      </c>
    </row>
    <row r="16" spans="1:13" ht="15.75" customHeight="1">
      <c r="A16" s="105"/>
      <c r="B16" s="128"/>
      <c r="C16" s="105"/>
      <c r="D16" s="121"/>
      <c r="E16" s="157"/>
      <c r="F16" s="105"/>
      <c r="G16" s="105"/>
      <c r="H16" s="142"/>
      <c r="I16" s="142"/>
      <c r="J16" s="142"/>
      <c r="K16" s="142"/>
      <c r="L16" s="142"/>
      <c r="M16" s="142" t="str">
        <f t="shared" si="0"/>
        <v/>
      </c>
    </row>
    <row r="17" spans="1:13" ht="15.75" customHeight="1">
      <c r="A17" s="105"/>
      <c r="B17" s="128"/>
      <c r="C17" s="105"/>
      <c r="D17" s="121"/>
      <c r="E17" s="157"/>
      <c r="F17" s="105"/>
      <c r="G17" s="105"/>
      <c r="H17" s="142"/>
      <c r="I17" s="142"/>
      <c r="J17" s="142"/>
      <c r="K17" s="142"/>
      <c r="L17" s="142"/>
      <c r="M17" s="142" t="str">
        <f t="shared" si="0"/>
        <v/>
      </c>
    </row>
    <row r="18" spans="1:13" ht="15.75" customHeight="1">
      <c r="A18" s="105"/>
      <c r="B18" s="128"/>
      <c r="C18" s="105"/>
      <c r="D18" s="121"/>
      <c r="E18" s="157"/>
      <c r="F18" s="105"/>
      <c r="G18" s="105"/>
      <c r="H18" s="142"/>
      <c r="I18" s="142"/>
      <c r="J18" s="142"/>
      <c r="K18" s="142"/>
      <c r="L18" s="142"/>
      <c r="M18" s="142" t="str">
        <f t="shared" si="0"/>
        <v/>
      </c>
    </row>
    <row r="19" spans="1:13" ht="15.75" customHeight="1">
      <c r="A19" s="105"/>
      <c r="B19" s="128"/>
      <c r="C19" s="105"/>
      <c r="D19" s="121"/>
      <c r="E19" s="157"/>
      <c r="F19" s="105"/>
      <c r="G19" s="105"/>
      <c r="H19" s="142"/>
      <c r="I19" s="142"/>
      <c r="J19" s="142"/>
      <c r="K19" s="142"/>
      <c r="L19" s="142"/>
      <c r="M19" s="142" t="str">
        <f t="shared" si="0"/>
        <v/>
      </c>
    </row>
    <row r="20" spans="1:13" ht="15.75" customHeight="1">
      <c r="A20" s="105"/>
      <c r="B20" s="128"/>
      <c r="C20" s="105"/>
      <c r="D20" s="121"/>
      <c r="E20" s="157"/>
      <c r="F20" s="105"/>
      <c r="G20" s="105"/>
      <c r="H20" s="142"/>
      <c r="I20" s="142"/>
      <c r="J20" s="142"/>
      <c r="K20" s="142"/>
      <c r="L20" s="142"/>
      <c r="M20" s="142" t="str">
        <f t="shared" si="0"/>
        <v/>
      </c>
    </row>
    <row r="21" spans="1:13" ht="15.75" customHeight="1">
      <c r="A21" s="105"/>
      <c r="B21" s="128"/>
      <c r="C21" s="105"/>
      <c r="D21" s="121"/>
      <c r="E21" s="157"/>
      <c r="F21" s="105"/>
      <c r="G21" s="105"/>
      <c r="H21" s="142"/>
      <c r="I21" s="142"/>
      <c r="J21" s="142"/>
      <c r="K21" s="142"/>
      <c r="L21" s="142"/>
      <c r="M21" s="142" t="str">
        <f t="shared" si="0"/>
        <v/>
      </c>
    </row>
    <row r="22" spans="1:13" ht="15.75" customHeight="1">
      <c r="A22" s="105"/>
      <c r="B22" s="128"/>
      <c r="C22" s="105"/>
      <c r="D22" s="121"/>
      <c r="E22" s="157"/>
      <c r="F22" s="105"/>
      <c r="G22" s="105"/>
      <c r="H22" s="142"/>
      <c r="I22" s="142"/>
      <c r="J22" s="142"/>
      <c r="K22" s="142"/>
      <c r="L22" s="142"/>
      <c r="M22" s="142" t="str">
        <f t="shared" si="0"/>
        <v/>
      </c>
    </row>
    <row r="23" spans="1:13" ht="15.75" customHeight="1">
      <c r="A23" s="105"/>
      <c r="B23" s="128"/>
      <c r="C23" s="105"/>
      <c r="D23" s="121"/>
      <c r="E23" s="157"/>
      <c r="F23" s="105"/>
      <c r="G23" s="105"/>
      <c r="H23" s="142"/>
      <c r="I23" s="142"/>
      <c r="J23" s="142"/>
      <c r="K23" s="142"/>
      <c r="L23" s="142"/>
      <c r="M23" s="142" t="str">
        <f t="shared" si="0"/>
        <v/>
      </c>
    </row>
    <row r="24" spans="1:13" ht="15.75" customHeight="1">
      <c r="A24" s="105"/>
      <c r="B24" s="128"/>
      <c r="C24" s="105"/>
      <c r="D24" s="121"/>
      <c r="E24" s="157"/>
      <c r="F24" s="105"/>
      <c r="G24" s="105"/>
      <c r="H24" s="142"/>
      <c r="I24" s="142"/>
      <c r="J24" s="142"/>
      <c r="K24" s="142"/>
      <c r="L24" s="142"/>
      <c r="M24" s="142" t="str">
        <f t="shared" si="0"/>
        <v/>
      </c>
    </row>
    <row r="25" spans="1:13" ht="15.75" customHeight="1">
      <c r="A25" s="105"/>
      <c r="B25" s="128"/>
      <c r="C25" s="105"/>
      <c r="D25" s="121"/>
      <c r="E25" s="157"/>
      <c r="F25" s="105"/>
      <c r="G25" s="105"/>
      <c r="H25" s="142"/>
      <c r="I25" s="142"/>
      <c r="J25" s="142"/>
      <c r="K25" s="142"/>
      <c r="L25" s="142"/>
      <c r="M25" s="142" t="str">
        <f t="shared" si="0"/>
        <v/>
      </c>
    </row>
    <row r="26" spans="1:13" ht="15.75" customHeight="1">
      <c r="A26" s="105"/>
      <c r="B26" s="128"/>
      <c r="C26" s="105"/>
      <c r="D26" s="121"/>
      <c r="E26" s="157"/>
      <c r="F26" s="105"/>
      <c r="G26" s="105"/>
      <c r="H26" s="142"/>
      <c r="I26" s="142"/>
      <c r="J26" s="142"/>
      <c r="K26" s="142"/>
      <c r="L26" s="142"/>
      <c r="M26" s="142"/>
    </row>
    <row r="27" spans="1:13" ht="15.75" customHeight="1">
      <c r="A27" s="809" t="s">
        <v>47</v>
      </c>
      <c r="B27" s="810"/>
      <c r="C27" s="120"/>
      <c r="D27" s="121"/>
      <c r="E27" s="120"/>
      <c r="F27" s="120"/>
      <c r="G27" s="120"/>
      <c r="H27" s="142">
        <f>SUM(H6:H26)</f>
        <v>0</v>
      </c>
      <c r="I27" s="142"/>
      <c r="J27" s="142">
        <f>SUM(J6:J26)</f>
        <v>0</v>
      </c>
      <c r="K27" s="142"/>
      <c r="L27" s="142">
        <f>SUM(L6:L26)</f>
        <v>0</v>
      </c>
      <c r="M27" s="142" t="str">
        <f>IF(J27=0,"",(L27-J27)/J27*100)</f>
        <v/>
      </c>
    </row>
    <row r="28" spans="1:13" ht="15.75" customHeight="1">
      <c r="A28" s="101" t="e">
        <f>#REF!&amp;#REF!</f>
        <v>#REF!</v>
      </c>
      <c r="J28" s="115" t="e">
        <f>"评估人员："&amp;#REF!</f>
        <v>#REF!</v>
      </c>
    </row>
    <row r="29" spans="1:13" ht="15.75" customHeight="1">
      <c r="A29" s="101" t="e">
        <f>CONCATENATE(#REF!,#REF!,#REF!,#REF!,#REF!,#REF!,#REF!)</f>
        <v>#REF!</v>
      </c>
    </row>
  </sheetData>
  <mergeCells count="3">
    <mergeCell ref="A2:M2"/>
    <mergeCell ref="A3:M3"/>
    <mergeCell ref="A27:B27"/>
  </mergeCells>
  <phoneticPr fontId="6" type="noConversion"/>
  <hyperlinks>
    <hyperlink ref="B1" location="交易性金融资产汇总!B8" display="交易性金融资产-基金投资"/>
    <hyperlink ref="A1" location="索引目录!E11" display="基金投资"/>
  </hyperlinks>
  <printOptions horizontalCentered="1"/>
  <pageMargins left="0.35433070866141736" right="0.35433070866141736" top="0.78740157480314965" bottom="0.78740157480314965" header="1.01" footer="0.51181102362204722"/>
  <pageSetup paperSize="9" scale="85" fitToHeight="0" orientation="landscape" horizontalDpi="4294967292" r:id="rId1"/>
  <headerFooter alignWithMargins="0">
    <oddHeader>&amp;R&amp;"宋体,常规"&amp;10表&amp;"Times New Roman,常规"3-2-3
&amp;"宋体,常规"共&amp;"Times New Roman,常规"&amp;N&amp;"宋体,常规"页第&amp;"Times New Roman,常规"&amp;P&amp;"宋体,常规"页</oddHead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L29"/>
  <sheetViews>
    <sheetView workbookViewId="0">
      <selection activeCell="H10" sqref="H10"/>
    </sheetView>
  </sheetViews>
  <sheetFormatPr defaultRowHeight="15.75" customHeight="1" outlineLevelCol="1"/>
  <cols>
    <col min="1" max="1" width="5.25" style="4" customWidth="1"/>
    <col min="2" max="3" width="20.625" style="4" customWidth="1"/>
    <col min="4" max="4" width="11.625" style="4" customWidth="1"/>
    <col min="5" max="5" width="11" style="4" customWidth="1"/>
    <col min="6" max="6" width="11.625" style="4" customWidth="1"/>
    <col min="7" max="7" width="13.125" style="123" customWidth="1" outlineLevel="1"/>
    <col min="8" max="8" width="10.5" style="123" customWidth="1" outlineLevel="1"/>
    <col min="9" max="9" width="17.5" style="123" customWidth="1"/>
    <col min="10" max="10" width="15.5" style="123" customWidth="1"/>
    <col min="11" max="11" width="14.625" style="123" customWidth="1"/>
    <col min="12" max="12" width="14.625" style="4" customWidth="1"/>
    <col min="13" max="16384" width="9" style="4"/>
  </cols>
  <sheetData>
    <row r="1" spans="1:12" ht="12.75">
      <c r="A1" s="195" t="s">
        <v>130</v>
      </c>
      <c r="B1" s="196" t="s">
        <v>132</v>
      </c>
      <c r="C1" s="196"/>
      <c r="D1" s="1"/>
      <c r="E1" s="1"/>
      <c r="F1" s="1"/>
      <c r="G1" s="1"/>
      <c r="H1" s="1"/>
      <c r="I1" s="1"/>
      <c r="J1" s="1"/>
      <c r="K1" s="1"/>
      <c r="L1" s="1"/>
    </row>
    <row r="2" spans="1:12" s="114" customFormat="1" ht="30" customHeight="1">
      <c r="A2" s="790" t="s">
        <v>908</v>
      </c>
      <c r="B2" s="791"/>
      <c r="C2" s="791"/>
      <c r="D2" s="791"/>
      <c r="E2" s="791"/>
      <c r="F2" s="791"/>
      <c r="G2" s="791"/>
      <c r="H2" s="791"/>
      <c r="I2" s="791"/>
      <c r="J2" s="791"/>
      <c r="K2" s="791"/>
      <c r="L2" s="791"/>
    </row>
    <row r="3" spans="1:12" ht="14.1" customHeight="1">
      <c r="A3" s="792" t="e">
        <f>CONCATENATE(#REF!,#REF!,#REF!,#REF!,#REF!,#REF!,#REF!)</f>
        <v>#REF!</v>
      </c>
      <c r="B3" s="792"/>
      <c r="C3" s="792"/>
      <c r="D3" s="792"/>
      <c r="E3" s="792"/>
      <c r="F3" s="792"/>
      <c r="G3" s="792"/>
      <c r="H3" s="792"/>
      <c r="I3" s="792"/>
      <c r="J3" s="808"/>
      <c r="K3" s="808"/>
      <c r="L3" s="808"/>
    </row>
    <row r="4" spans="1:12" ht="15.75" customHeight="1">
      <c r="A4" s="115" t="e">
        <f>#REF!&amp;#REF!</f>
        <v>#REF!</v>
      </c>
      <c r="L4" s="106" t="s">
        <v>3</v>
      </c>
    </row>
    <row r="5" spans="1:12" s="1" customFormat="1" ht="15.75" customHeight="1">
      <c r="A5" s="2" t="s">
        <v>4</v>
      </c>
      <c r="B5" s="2" t="s">
        <v>226</v>
      </c>
      <c r="C5" s="2" t="s">
        <v>937</v>
      </c>
      <c r="D5" s="2" t="s">
        <v>310</v>
      </c>
      <c r="E5" s="2" t="s">
        <v>311</v>
      </c>
      <c r="F5" s="2" t="s">
        <v>50</v>
      </c>
      <c r="G5" s="2" t="s">
        <v>426</v>
      </c>
      <c r="H5" s="2" t="s">
        <v>710</v>
      </c>
      <c r="I5" s="328" t="s">
        <v>315</v>
      </c>
      <c r="J5" s="328" t="s">
        <v>0</v>
      </c>
      <c r="K5" s="328" t="s">
        <v>20</v>
      </c>
      <c r="L5" s="2" t="s">
        <v>72</v>
      </c>
    </row>
    <row r="6" spans="1:12" ht="15.75" customHeight="1">
      <c r="A6" s="105"/>
      <c r="B6" s="128"/>
      <c r="C6" s="128"/>
      <c r="D6" s="121"/>
      <c r="E6" s="121"/>
      <c r="F6" s="120"/>
      <c r="G6" s="142"/>
      <c r="H6" s="142"/>
      <c r="I6" s="142"/>
      <c r="J6" s="142"/>
      <c r="K6" s="142" t="str">
        <f>IF(I6=0,"",(J6-I6)/I6*100)</f>
        <v/>
      </c>
      <c r="L6" s="120"/>
    </row>
    <row r="7" spans="1:12" ht="15.75" customHeight="1">
      <c r="A7" s="105"/>
      <c r="B7" s="128"/>
      <c r="C7" s="128"/>
      <c r="D7" s="121"/>
      <c r="E7" s="121"/>
      <c r="F7" s="120"/>
      <c r="G7" s="142"/>
      <c r="H7" s="142"/>
      <c r="I7" s="142"/>
      <c r="J7" s="142"/>
      <c r="K7" s="142" t="str">
        <f t="shared" ref="K7:K27" si="0">IF(I7=0,"",(J7-I7)/I7*100)</f>
        <v/>
      </c>
      <c r="L7" s="120"/>
    </row>
    <row r="8" spans="1:12" ht="15.75" customHeight="1">
      <c r="A8" s="105"/>
      <c r="B8" s="128"/>
      <c r="C8" s="128"/>
      <c r="D8" s="121"/>
      <c r="E8" s="121"/>
      <c r="F8" s="120"/>
      <c r="G8" s="142"/>
      <c r="H8" s="142"/>
      <c r="I8" s="142"/>
      <c r="J8" s="142"/>
      <c r="K8" s="142" t="str">
        <f t="shared" si="0"/>
        <v/>
      </c>
      <c r="L8" s="120"/>
    </row>
    <row r="9" spans="1:12" ht="15.75" customHeight="1">
      <c r="A9" s="105"/>
      <c r="B9" s="128"/>
      <c r="C9" s="128"/>
      <c r="D9" s="121"/>
      <c r="E9" s="121"/>
      <c r="F9" s="120"/>
      <c r="G9" s="142"/>
      <c r="H9" s="142"/>
      <c r="I9" s="142"/>
      <c r="J9" s="142"/>
      <c r="K9" s="142" t="str">
        <f t="shared" si="0"/>
        <v/>
      </c>
      <c r="L9" s="120"/>
    </row>
    <row r="10" spans="1:12" ht="15.75" customHeight="1">
      <c r="A10" s="105"/>
      <c r="B10" s="128"/>
      <c r="C10" s="128"/>
      <c r="D10" s="121"/>
      <c r="E10" s="121"/>
      <c r="F10" s="120"/>
      <c r="G10" s="142"/>
      <c r="H10" s="142"/>
      <c r="I10" s="142"/>
      <c r="J10" s="142"/>
      <c r="K10" s="142" t="str">
        <f t="shared" si="0"/>
        <v/>
      </c>
      <c r="L10" s="120"/>
    </row>
    <row r="11" spans="1:12" ht="15.75" customHeight="1">
      <c r="A11" s="105"/>
      <c r="B11" s="128"/>
      <c r="C11" s="128"/>
      <c r="D11" s="121"/>
      <c r="E11" s="121"/>
      <c r="F11" s="120"/>
      <c r="G11" s="142"/>
      <c r="H11" s="142"/>
      <c r="I11" s="142"/>
      <c r="J11" s="142"/>
      <c r="K11" s="142" t="str">
        <f t="shared" si="0"/>
        <v/>
      </c>
      <c r="L11" s="120"/>
    </row>
    <row r="12" spans="1:12" ht="15.75" customHeight="1">
      <c r="A12" s="105"/>
      <c r="B12" s="128"/>
      <c r="C12" s="128"/>
      <c r="D12" s="121"/>
      <c r="E12" s="121"/>
      <c r="F12" s="120"/>
      <c r="G12" s="142"/>
      <c r="H12" s="142"/>
      <c r="I12" s="142"/>
      <c r="J12" s="142"/>
      <c r="K12" s="142" t="str">
        <f t="shared" si="0"/>
        <v/>
      </c>
      <c r="L12" s="120"/>
    </row>
    <row r="13" spans="1:12" ht="15.75" customHeight="1">
      <c r="A13" s="105"/>
      <c r="B13" s="128"/>
      <c r="C13" s="128"/>
      <c r="D13" s="121"/>
      <c r="E13" s="121"/>
      <c r="F13" s="120"/>
      <c r="G13" s="142"/>
      <c r="H13" s="142"/>
      <c r="I13" s="142"/>
      <c r="J13" s="142"/>
      <c r="K13" s="142" t="str">
        <f t="shared" si="0"/>
        <v/>
      </c>
      <c r="L13" s="120"/>
    </row>
    <row r="14" spans="1:12" ht="15.75" customHeight="1">
      <c r="A14" s="105"/>
      <c r="B14" s="128"/>
      <c r="C14" s="128"/>
      <c r="D14" s="121"/>
      <c r="E14" s="121"/>
      <c r="F14" s="120"/>
      <c r="G14" s="142"/>
      <c r="H14" s="142"/>
      <c r="I14" s="142"/>
      <c r="J14" s="142"/>
      <c r="K14" s="142" t="str">
        <f t="shared" si="0"/>
        <v/>
      </c>
      <c r="L14" s="120"/>
    </row>
    <row r="15" spans="1:12" ht="15.75" customHeight="1">
      <c r="A15" s="105"/>
      <c r="B15" s="128"/>
      <c r="C15" s="128"/>
      <c r="D15" s="121"/>
      <c r="E15" s="121"/>
      <c r="F15" s="120"/>
      <c r="G15" s="142"/>
      <c r="H15" s="142"/>
      <c r="I15" s="142"/>
      <c r="J15" s="142"/>
      <c r="K15" s="142" t="str">
        <f t="shared" si="0"/>
        <v/>
      </c>
      <c r="L15" s="120"/>
    </row>
    <row r="16" spans="1:12" ht="15.75" customHeight="1">
      <c r="A16" s="105"/>
      <c r="B16" s="128"/>
      <c r="C16" s="128"/>
      <c r="D16" s="121"/>
      <c r="E16" s="121"/>
      <c r="F16" s="120"/>
      <c r="G16" s="142"/>
      <c r="H16" s="142"/>
      <c r="I16" s="142"/>
      <c r="J16" s="142"/>
      <c r="K16" s="142" t="str">
        <f t="shared" si="0"/>
        <v/>
      </c>
      <c r="L16" s="120"/>
    </row>
    <row r="17" spans="1:12" ht="15.75" customHeight="1">
      <c r="A17" s="105"/>
      <c r="B17" s="128"/>
      <c r="C17" s="128"/>
      <c r="D17" s="121"/>
      <c r="E17" s="121"/>
      <c r="F17" s="120"/>
      <c r="G17" s="142"/>
      <c r="H17" s="142"/>
      <c r="I17" s="142"/>
      <c r="J17" s="142"/>
      <c r="K17" s="142" t="str">
        <f t="shared" si="0"/>
        <v/>
      </c>
      <c r="L17" s="120"/>
    </row>
    <row r="18" spans="1:12" ht="15.75" customHeight="1">
      <c r="A18" s="105"/>
      <c r="B18" s="128"/>
      <c r="C18" s="128"/>
      <c r="D18" s="121"/>
      <c r="E18" s="121"/>
      <c r="F18" s="120"/>
      <c r="G18" s="142"/>
      <c r="H18" s="142"/>
      <c r="I18" s="142"/>
      <c r="J18" s="142"/>
      <c r="K18" s="142" t="str">
        <f t="shared" si="0"/>
        <v/>
      </c>
      <c r="L18" s="120"/>
    </row>
    <row r="19" spans="1:12" ht="15.75" customHeight="1">
      <c r="A19" s="105"/>
      <c r="B19" s="128"/>
      <c r="C19" s="128"/>
      <c r="D19" s="121"/>
      <c r="E19" s="121"/>
      <c r="F19" s="120"/>
      <c r="G19" s="142"/>
      <c r="H19" s="142"/>
      <c r="I19" s="142"/>
      <c r="J19" s="142"/>
      <c r="K19" s="142" t="str">
        <f t="shared" si="0"/>
        <v/>
      </c>
      <c r="L19" s="120"/>
    </row>
    <row r="20" spans="1:12" ht="15.75" customHeight="1">
      <c r="A20" s="105"/>
      <c r="B20" s="128"/>
      <c r="C20" s="128"/>
      <c r="D20" s="121"/>
      <c r="E20" s="121"/>
      <c r="F20" s="120"/>
      <c r="G20" s="142"/>
      <c r="H20" s="142"/>
      <c r="I20" s="142"/>
      <c r="J20" s="142"/>
      <c r="K20" s="142" t="str">
        <f t="shared" si="0"/>
        <v/>
      </c>
      <c r="L20" s="120"/>
    </row>
    <row r="21" spans="1:12" ht="15.75" customHeight="1">
      <c r="A21" s="105"/>
      <c r="B21" s="128"/>
      <c r="C21" s="128"/>
      <c r="D21" s="121"/>
      <c r="E21" s="121"/>
      <c r="F21" s="120"/>
      <c r="G21" s="142"/>
      <c r="H21" s="142"/>
      <c r="I21" s="142"/>
      <c r="J21" s="142"/>
      <c r="K21" s="142" t="str">
        <f t="shared" si="0"/>
        <v/>
      </c>
      <c r="L21" s="120"/>
    </row>
    <row r="22" spans="1:12" ht="15.75" customHeight="1">
      <c r="A22" s="105"/>
      <c r="B22" s="128"/>
      <c r="C22" s="128"/>
      <c r="D22" s="121"/>
      <c r="E22" s="121"/>
      <c r="F22" s="120"/>
      <c r="G22" s="142"/>
      <c r="H22" s="142"/>
      <c r="I22" s="142"/>
      <c r="J22" s="142"/>
      <c r="K22" s="142" t="str">
        <f t="shared" si="0"/>
        <v/>
      </c>
      <c r="L22" s="120"/>
    </row>
    <row r="23" spans="1:12" ht="15.75" customHeight="1">
      <c r="A23" s="105"/>
      <c r="B23" s="128"/>
      <c r="C23" s="128"/>
      <c r="D23" s="121"/>
      <c r="E23" s="121"/>
      <c r="F23" s="120"/>
      <c r="G23" s="142"/>
      <c r="H23" s="142"/>
      <c r="I23" s="142"/>
      <c r="J23" s="142"/>
      <c r="K23" s="142" t="str">
        <f t="shared" si="0"/>
        <v/>
      </c>
      <c r="L23" s="120"/>
    </row>
    <row r="24" spans="1:12" ht="15.75" customHeight="1">
      <c r="A24" s="105"/>
      <c r="B24" s="128"/>
      <c r="C24" s="128"/>
      <c r="D24" s="121"/>
      <c r="E24" s="121"/>
      <c r="F24" s="120"/>
      <c r="G24" s="142"/>
      <c r="H24" s="142"/>
      <c r="I24" s="142"/>
      <c r="J24" s="142"/>
      <c r="K24" s="142" t="str">
        <f t="shared" si="0"/>
        <v/>
      </c>
      <c r="L24" s="120"/>
    </row>
    <row r="25" spans="1:12" ht="15.75" customHeight="1">
      <c r="A25" s="105"/>
      <c r="B25" s="128"/>
      <c r="C25" s="128"/>
      <c r="D25" s="121"/>
      <c r="E25" s="121"/>
      <c r="F25" s="120"/>
      <c r="G25" s="142"/>
      <c r="H25" s="142"/>
      <c r="I25" s="142"/>
      <c r="J25" s="142"/>
      <c r="K25" s="142" t="str">
        <f>IF(I25=0,"",(J25-I25)/I25*100)</f>
        <v/>
      </c>
      <c r="L25" s="120"/>
    </row>
    <row r="26" spans="1:12" ht="15.75" customHeight="1">
      <c r="A26" s="105"/>
      <c r="B26" s="128"/>
      <c r="C26" s="128"/>
      <c r="D26" s="121"/>
      <c r="E26" s="121"/>
      <c r="F26" s="120"/>
      <c r="G26" s="142"/>
      <c r="H26" s="142"/>
      <c r="I26" s="142"/>
      <c r="J26" s="142"/>
      <c r="K26" s="142" t="str">
        <f>IF(I26=0,"",(J26-I26)/I26*100)</f>
        <v/>
      </c>
      <c r="L26" s="120"/>
    </row>
    <row r="27" spans="1:12" ht="15.75" customHeight="1">
      <c r="A27" s="809" t="s">
        <v>54</v>
      </c>
      <c r="B27" s="810"/>
      <c r="C27" s="110"/>
      <c r="D27" s="121"/>
      <c r="E27" s="121"/>
      <c r="F27" s="120"/>
      <c r="G27" s="142">
        <f>SUM(G6:G26)</f>
        <v>0</v>
      </c>
      <c r="H27" s="142"/>
      <c r="I27" s="142">
        <f>SUM(I6:I26)</f>
        <v>0</v>
      </c>
      <c r="J27" s="142">
        <f>SUM(J6:J26)</f>
        <v>0</v>
      </c>
      <c r="K27" s="142" t="str">
        <f t="shared" si="0"/>
        <v/>
      </c>
      <c r="L27" s="120"/>
    </row>
    <row r="28" spans="1:12" ht="15.75" customHeight="1">
      <c r="A28" s="101" t="e">
        <f>#REF!&amp;#REF!</f>
        <v>#REF!</v>
      </c>
      <c r="I28" s="115" t="e">
        <f>"评估人员："&amp;#REF!</f>
        <v>#REF!</v>
      </c>
    </row>
    <row r="29" spans="1:12" ht="15.75" customHeight="1">
      <c r="A29" s="101" t="e">
        <f>CONCATENATE(#REF!,#REF!,#REF!,#REF!,#REF!,#REF!,#REF!)</f>
        <v>#REF!</v>
      </c>
    </row>
  </sheetData>
  <mergeCells count="3">
    <mergeCell ref="A2:L2"/>
    <mergeCell ref="A3:L3"/>
    <mergeCell ref="A27:B27"/>
  </mergeCells>
  <phoneticPr fontId="6" type="noConversion"/>
  <hyperlinks>
    <hyperlink ref="A1" location="索引目录!D12" display="应收票据"/>
    <hyperlink ref="B1" location="流动汇总!B8" display="应收票据"/>
  </hyperlinks>
  <printOptions horizontalCentered="1"/>
  <pageMargins left="0.35433070866141736" right="0.35433070866141736" top="0.78740157480314965" bottom="0.78740157480314965" header="1.02" footer="0.51181102362204722"/>
  <pageSetup paperSize="9" scale="79" fitToHeight="0" orientation="landscape" horizontalDpi="4294967292" r:id="rId1"/>
  <headerFooter alignWithMargins="0">
    <oddHeader>&amp;R&amp;"宋体,常规"&amp;10表&amp;"Times New Roman,常规"3-3
&amp;"宋体,常规"共&amp;"Times New Roman,常规"&amp;N&amp;"宋体,常规"页第&amp;"Times New Roman,常规"&amp;P&amp;"宋体,常规"页</oddHead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S34"/>
  <sheetViews>
    <sheetView workbookViewId="0">
      <pane xSplit="4" ySplit="5" topLeftCell="E6" activePane="bottomRight" state="frozen"/>
      <selection activeCell="H10" sqref="H10"/>
      <selection pane="topRight" activeCell="H10" sqref="H10"/>
      <selection pane="bottomLeft" activeCell="H10" sqref="H10"/>
      <selection pane="bottomRight" activeCell="H10" sqref="H10"/>
    </sheetView>
  </sheetViews>
  <sheetFormatPr defaultRowHeight="15.75" customHeight="1" outlineLevelCol="1"/>
  <cols>
    <col min="1" max="1" width="6.5" style="4" customWidth="1"/>
    <col min="2" max="2" width="27.25" style="4" customWidth="1"/>
    <col min="3" max="3" width="13.5" style="4" customWidth="1"/>
    <col min="4" max="4" width="9.5" style="4" customWidth="1"/>
    <col min="5" max="5" width="10.375" style="4" customWidth="1"/>
    <col min="6" max="6" width="13.125" style="4" customWidth="1" outlineLevel="1"/>
    <col min="7" max="7" width="10.375" style="123" customWidth="1" outlineLevel="1"/>
    <col min="8" max="11" width="8.75" style="123" customWidth="1" outlineLevel="1"/>
    <col min="12" max="12" width="10.375" style="123" customWidth="1" outlineLevel="1"/>
    <col min="13" max="13" width="8.25" style="123" customWidth="1" outlineLevel="1"/>
    <col min="14" max="15" width="10.75" style="137" customWidth="1" outlineLevel="1"/>
    <col min="16" max="16" width="16" style="4" customWidth="1"/>
    <col min="17" max="17" width="14.375" style="4" customWidth="1"/>
    <col min="18" max="18" width="11.25" style="4" customWidth="1"/>
    <col min="19" max="19" width="14.75" style="4" customWidth="1"/>
    <col min="20" max="16384" width="9" style="4"/>
  </cols>
  <sheetData>
    <row r="1" spans="1:19" ht="14.25">
      <c r="A1" s="272" t="s">
        <v>130</v>
      </c>
      <c r="B1" s="196" t="s">
        <v>410</v>
      </c>
      <c r="C1" s="1"/>
      <c r="D1" s="1"/>
      <c r="E1" s="1"/>
      <c r="F1" s="1"/>
      <c r="G1" s="1"/>
      <c r="H1" s="1"/>
      <c r="I1" s="1"/>
      <c r="J1" s="1"/>
      <c r="K1" s="1"/>
      <c r="L1" s="1"/>
      <c r="M1" s="1"/>
      <c r="N1" s="1"/>
      <c r="O1" s="1"/>
      <c r="P1" s="1"/>
      <c r="Q1" s="1"/>
      <c r="R1" s="1"/>
      <c r="S1" s="1"/>
    </row>
    <row r="2" spans="1:19" s="114" customFormat="1" ht="30" customHeight="1">
      <c r="A2" s="790" t="s">
        <v>907</v>
      </c>
      <c r="B2" s="791"/>
      <c r="C2" s="791"/>
      <c r="D2" s="791"/>
      <c r="E2" s="791"/>
      <c r="F2" s="791"/>
      <c r="G2" s="791"/>
      <c r="H2" s="791"/>
      <c r="I2" s="791"/>
      <c r="J2" s="791"/>
      <c r="K2" s="791"/>
      <c r="L2" s="791"/>
      <c r="M2" s="791"/>
      <c r="N2" s="791"/>
      <c r="O2" s="791"/>
      <c r="P2" s="791"/>
      <c r="Q2" s="791"/>
      <c r="R2" s="791"/>
      <c r="S2" s="791"/>
    </row>
    <row r="3" spans="1:19" ht="14.1" customHeight="1">
      <c r="A3" s="792" t="e">
        <f>CONCATENATE(#REF!,#REF!,#REF!,#REF!,#REF!,#REF!,#REF!)</f>
        <v>#REF!</v>
      </c>
      <c r="B3" s="792"/>
      <c r="C3" s="792"/>
      <c r="D3" s="792"/>
      <c r="E3" s="792"/>
      <c r="F3" s="792"/>
      <c r="G3" s="792"/>
      <c r="H3" s="792"/>
      <c r="I3" s="808"/>
      <c r="J3" s="808"/>
      <c r="K3" s="808"/>
      <c r="L3" s="808"/>
      <c r="M3" s="808"/>
      <c r="N3" s="808"/>
      <c r="O3" s="808"/>
      <c r="P3" s="808"/>
      <c r="Q3" s="808"/>
      <c r="R3" s="808"/>
      <c r="S3" s="808"/>
    </row>
    <row r="4" spans="1:19" ht="15.75" customHeight="1">
      <c r="A4" s="115" t="e">
        <f>#REF!&amp;#REF!</f>
        <v>#REF!</v>
      </c>
      <c r="M4" s="811" t="s">
        <v>705</v>
      </c>
      <c r="N4" s="813" t="s">
        <v>940</v>
      </c>
      <c r="O4" s="332"/>
      <c r="S4" s="106" t="s">
        <v>3</v>
      </c>
    </row>
    <row r="5" spans="1:19" s="1" customFormat="1" ht="15.75" customHeight="1">
      <c r="A5" s="2" t="s">
        <v>4</v>
      </c>
      <c r="B5" s="2" t="s">
        <v>51</v>
      </c>
      <c r="C5" s="2" t="s">
        <v>52</v>
      </c>
      <c r="D5" s="2" t="s">
        <v>53</v>
      </c>
      <c r="E5" s="2" t="s">
        <v>349</v>
      </c>
      <c r="F5" s="2" t="s">
        <v>427</v>
      </c>
      <c r="G5" s="136" t="s">
        <v>73</v>
      </c>
      <c r="H5" s="136" t="s">
        <v>298</v>
      </c>
      <c r="I5" s="136" t="s">
        <v>299</v>
      </c>
      <c r="J5" s="136" t="s">
        <v>75</v>
      </c>
      <c r="K5" s="136" t="s">
        <v>76</v>
      </c>
      <c r="L5" s="136" t="s">
        <v>77</v>
      </c>
      <c r="M5" s="812"/>
      <c r="N5" s="814"/>
      <c r="O5" s="282" t="s">
        <v>711</v>
      </c>
      <c r="P5" s="2" t="s">
        <v>315</v>
      </c>
      <c r="Q5" s="2" t="s">
        <v>0</v>
      </c>
      <c r="R5" s="2" t="s">
        <v>20</v>
      </c>
      <c r="S5" s="2" t="s">
        <v>72</v>
      </c>
    </row>
    <row r="6" spans="1:19" ht="15.75" customHeight="1">
      <c r="A6" s="105"/>
      <c r="B6" s="128"/>
      <c r="C6" s="105"/>
      <c r="D6" s="121"/>
      <c r="E6" s="105"/>
      <c r="F6" s="142"/>
      <c r="G6" s="158"/>
      <c r="H6" s="158"/>
      <c r="I6" s="158"/>
      <c r="J6" s="158"/>
      <c r="K6" s="158"/>
      <c r="L6" s="158"/>
      <c r="M6" s="158">
        <f>SUM(G6:L6)-F6</f>
        <v>0</v>
      </c>
      <c r="N6" s="281"/>
      <c r="O6" s="281"/>
      <c r="P6" s="142"/>
      <c r="Q6" s="142"/>
      <c r="R6" s="142" t="str">
        <f>IF(P6=0,"",(Q6-P6)/P6*100)</f>
        <v/>
      </c>
      <c r="S6" s="120"/>
    </row>
    <row r="7" spans="1:19" ht="15.75" customHeight="1">
      <c r="A7" s="105"/>
      <c r="B7" s="128"/>
      <c r="C7" s="105"/>
      <c r="D7" s="121"/>
      <c r="E7" s="105"/>
      <c r="F7" s="142"/>
      <c r="G7" s="158"/>
      <c r="H7" s="158"/>
      <c r="I7" s="158"/>
      <c r="J7" s="158"/>
      <c r="K7" s="158"/>
      <c r="L7" s="158"/>
      <c r="M7" s="158">
        <f t="shared" ref="M7:M23" si="0">SUM(G7:L7)-F7</f>
        <v>0</v>
      </c>
      <c r="N7" s="281"/>
      <c r="O7" s="281"/>
      <c r="P7" s="142"/>
      <c r="Q7" s="142"/>
      <c r="R7" s="142" t="str">
        <f t="shared" ref="R7:R26" si="1">IF(P7=0,"",(Q7-P7)/P7*100)</f>
        <v/>
      </c>
      <c r="S7" s="120"/>
    </row>
    <row r="8" spans="1:19" ht="15.75" customHeight="1">
      <c r="A8" s="105"/>
      <c r="B8" s="128"/>
      <c r="C8" s="105"/>
      <c r="D8" s="121"/>
      <c r="E8" s="105"/>
      <c r="F8" s="142"/>
      <c r="G8" s="158"/>
      <c r="H8" s="158"/>
      <c r="I8" s="158"/>
      <c r="J8" s="158"/>
      <c r="K8" s="158"/>
      <c r="L8" s="158"/>
      <c r="M8" s="158">
        <f t="shared" si="0"/>
        <v>0</v>
      </c>
      <c r="N8" s="281"/>
      <c r="O8" s="281"/>
      <c r="P8" s="142"/>
      <c r="Q8" s="142"/>
      <c r="R8" s="142" t="str">
        <f t="shared" si="1"/>
        <v/>
      </c>
      <c r="S8" s="120"/>
    </row>
    <row r="9" spans="1:19" ht="15.75" customHeight="1">
      <c r="A9" s="105"/>
      <c r="B9" s="128"/>
      <c r="C9" s="105"/>
      <c r="D9" s="121"/>
      <c r="E9" s="105"/>
      <c r="F9" s="142"/>
      <c r="G9" s="158"/>
      <c r="H9" s="158"/>
      <c r="I9" s="158"/>
      <c r="J9" s="158"/>
      <c r="K9" s="158"/>
      <c r="L9" s="158"/>
      <c r="M9" s="158">
        <f t="shared" si="0"/>
        <v>0</v>
      </c>
      <c r="N9" s="281"/>
      <c r="O9" s="281"/>
      <c r="P9" s="142"/>
      <c r="Q9" s="142"/>
      <c r="R9" s="142" t="str">
        <f t="shared" si="1"/>
        <v/>
      </c>
      <c r="S9" s="120"/>
    </row>
    <row r="10" spans="1:19" ht="15.75" customHeight="1">
      <c r="A10" s="105"/>
      <c r="B10" s="128"/>
      <c r="C10" s="105"/>
      <c r="D10" s="121"/>
      <c r="E10" s="105"/>
      <c r="F10" s="142"/>
      <c r="G10" s="158"/>
      <c r="H10" s="158"/>
      <c r="I10" s="158"/>
      <c r="J10" s="158"/>
      <c r="K10" s="158"/>
      <c r="L10" s="158"/>
      <c r="M10" s="158">
        <f t="shared" si="0"/>
        <v>0</v>
      </c>
      <c r="N10" s="281"/>
      <c r="O10" s="281"/>
      <c r="P10" s="142"/>
      <c r="Q10" s="142"/>
      <c r="R10" s="142" t="str">
        <f t="shared" si="1"/>
        <v/>
      </c>
      <c r="S10" s="120"/>
    </row>
    <row r="11" spans="1:19" ht="15.75" customHeight="1">
      <c r="A11" s="105"/>
      <c r="B11" s="128"/>
      <c r="C11" s="105"/>
      <c r="D11" s="121"/>
      <c r="E11" s="105"/>
      <c r="F11" s="142"/>
      <c r="G11" s="158"/>
      <c r="H11" s="158"/>
      <c r="I11" s="158"/>
      <c r="J11" s="158"/>
      <c r="K11" s="158"/>
      <c r="L11" s="158"/>
      <c r="M11" s="158">
        <f t="shared" si="0"/>
        <v>0</v>
      </c>
      <c r="N11" s="281"/>
      <c r="O11" s="281"/>
      <c r="P11" s="142"/>
      <c r="Q11" s="142"/>
      <c r="R11" s="142" t="str">
        <f t="shared" si="1"/>
        <v/>
      </c>
      <c r="S11" s="120"/>
    </row>
    <row r="12" spans="1:19" ht="15.75" customHeight="1">
      <c r="A12" s="105"/>
      <c r="B12" s="128"/>
      <c r="C12" s="105"/>
      <c r="D12" s="121"/>
      <c r="E12" s="105"/>
      <c r="F12" s="142"/>
      <c r="G12" s="158"/>
      <c r="H12" s="158"/>
      <c r="I12" s="158"/>
      <c r="J12" s="158"/>
      <c r="K12" s="158"/>
      <c r="L12" s="158"/>
      <c r="M12" s="158">
        <f t="shared" si="0"/>
        <v>0</v>
      </c>
      <c r="N12" s="281"/>
      <c r="O12" s="281"/>
      <c r="P12" s="142"/>
      <c r="Q12" s="142"/>
      <c r="R12" s="142" t="str">
        <f t="shared" si="1"/>
        <v/>
      </c>
      <c r="S12" s="120"/>
    </row>
    <row r="13" spans="1:19" ht="15.75" customHeight="1">
      <c r="A13" s="105"/>
      <c r="B13" s="128"/>
      <c r="C13" s="105"/>
      <c r="D13" s="121"/>
      <c r="E13" s="105"/>
      <c r="F13" s="142"/>
      <c r="G13" s="158"/>
      <c r="H13" s="158"/>
      <c r="I13" s="158"/>
      <c r="J13" s="158"/>
      <c r="K13" s="158"/>
      <c r="L13" s="158"/>
      <c r="M13" s="158">
        <f t="shared" si="0"/>
        <v>0</v>
      </c>
      <c r="N13" s="281"/>
      <c r="O13" s="281"/>
      <c r="P13" s="142"/>
      <c r="Q13" s="142"/>
      <c r="R13" s="142" t="str">
        <f t="shared" si="1"/>
        <v/>
      </c>
      <c r="S13" s="120"/>
    </row>
    <row r="14" spans="1:19" ht="15.75" customHeight="1">
      <c r="A14" s="105"/>
      <c r="B14" s="128"/>
      <c r="C14" s="105"/>
      <c r="D14" s="121"/>
      <c r="E14" s="105"/>
      <c r="F14" s="142"/>
      <c r="G14" s="158"/>
      <c r="H14" s="158"/>
      <c r="I14" s="158"/>
      <c r="J14" s="158"/>
      <c r="K14" s="158"/>
      <c r="L14" s="158"/>
      <c r="M14" s="158">
        <f t="shared" si="0"/>
        <v>0</v>
      </c>
      <c r="N14" s="281"/>
      <c r="O14" s="281"/>
      <c r="P14" s="142"/>
      <c r="Q14" s="142"/>
      <c r="R14" s="142" t="str">
        <f t="shared" si="1"/>
        <v/>
      </c>
      <c r="S14" s="120"/>
    </row>
    <row r="15" spans="1:19" ht="15.75" customHeight="1">
      <c r="A15" s="105"/>
      <c r="B15" s="128"/>
      <c r="C15" s="105"/>
      <c r="D15" s="121"/>
      <c r="E15" s="105"/>
      <c r="F15" s="142"/>
      <c r="G15" s="158"/>
      <c r="H15" s="158"/>
      <c r="I15" s="158"/>
      <c r="J15" s="158"/>
      <c r="K15" s="158"/>
      <c r="L15" s="158"/>
      <c r="M15" s="158">
        <f t="shared" si="0"/>
        <v>0</v>
      </c>
      <c r="N15" s="281"/>
      <c r="O15" s="281"/>
      <c r="P15" s="142"/>
      <c r="Q15" s="142"/>
      <c r="R15" s="142" t="str">
        <f t="shared" si="1"/>
        <v/>
      </c>
      <c r="S15" s="120"/>
    </row>
    <row r="16" spans="1:19" ht="15.75" customHeight="1">
      <c r="A16" s="105"/>
      <c r="B16" s="128"/>
      <c r="C16" s="105"/>
      <c r="D16" s="121"/>
      <c r="E16" s="105"/>
      <c r="F16" s="142"/>
      <c r="G16" s="158"/>
      <c r="H16" s="158"/>
      <c r="I16" s="158"/>
      <c r="J16" s="158"/>
      <c r="K16" s="158"/>
      <c r="L16" s="158"/>
      <c r="M16" s="158">
        <f t="shared" si="0"/>
        <v>0</v>
      </c>
      <c r="N16" s="281"/>
      <c r="O16" s="281"/>
      <c r="P16" s="142"/>
      <c r="Q16" s="142"/>
      <c r="R16" s="142" t="str">
        <f t="shared" si="1"/>
        <v/>
      </c>
      <c r="S16" s="120"/>
    </row>
    <row r="17" spans="1:19" ht="15.75" customHeight="1">
      <c r="A17" s="105"/>
      <c r="B17" s="128"/>
      <c r="C17" s="105"/>
      <c r="D17" s="121"/>
      <c r="E17" s="105"/>
      <c r="F17" s="142"/>
      <c r="G17" s="158"/>
      <c r="H17" s="158"/>
      <c r="I17" s="158"/>
      <c r="J17" s="158"/>
      <c r="K17" s="158"/>
      <c r="L17" s="158"/>
      <c r="M17" s="158">
        <f t="shared" si="0"/>
        <v>0</v>
      </c>
      <c r="N17" s="281"/>
      <c r="O17" s="281"/>
      <c r="P17" s="142"/>
      <c r="Q17" s="142"/>
      <c r="R17" s="142" t="str">
        <f t="shared" si="1"/>
        <v/>
      </c>
      <c r="S17" s="120"/>
    </row>
    <row r="18" spans="1:19" ht="15.75" customHeight="1">
      <c r="A18" s="105"/>
      <c r="B18" s="128"/>
      <c r="C18" s="105"/>
      <c r="D18" s="121"/>
      <c r="E18" s="105"/>
      <c r="F18" s="142"/>
      <c r="G18" s="158"/>
      <c r="H18" s="158"/>
      <c r="I18" s="158"/>
      <c r="J18" s="158"/>
      <c r="K18" s="158"/>
      <c r="L18" s="158"/>
      <c r="M18" s="158">
        <f t="shared" si="0"/>
        <v>0</v>
      </c>
      <c r="N18" s="281"/>
      <c r="O18" s="281"/>
      <c r="P18" s="142"/>
      <c r="Q18" s="142"/>
      <c r="R18" s="142" t="str">
        <f t="shared" si="1"/>
        <v/>
      </c>
      <c r="S18" s="120"/>
    </row>
    <row r="19" spans="1:19" ht="15.75" customHeight="1">
      <c r="A19" s="105"/>
      <c r="B19" s="128"/>
      <c r="C19" s="105"/>
      <c r="D19" s="121"/>
      <c r="E19" s="105"/>
      <c r="F19" s="142"/>
      <c r="G19" s="158"/>
      <c r="H19" s="158"/>
      <c r="I19" s="158"/>
      <c r="J19" s="158"/>
      <c r="K19" s="158"/>
      <c r="L19" s="158"/>
      <c r="M19" s="158">
        <f t="shared" si="0"/>
        <v>0</v>
      </c>
      <c r="N19" s="281"/>
      <c r="O19" s="281"/>
      <c r="P19" s="142"/>
      <c r="Q19" s="142"/>
      <c r="R19" s="142" t="str">
        <f t="shared" si="1"/>
        <v/>
      </c>
      <c r="S19" s="120"/>
    </row>
    <row r="20" spans="1:19" ht="15.75" customHeight="1">
      <c r="A20" s="105"/>
      <c r="B20" s="128"/>
      <c r="C20" s="105"/>
      <c r="D20" s="121"/>
      <c r="E20" s="105"/>
      <c r="F20" s="142"/>
      <c r="G20" s="158"/>
      <c r="H20" s="158"/>
      <c r="I20" s="158"/>
      <c r="J20" s="158"/>
      <c r="K20" s="158"/>
      <c r="L20" s="158"/>
      <c r="M20" s="158">
        <f t="shared" si="0"/>
        <v>0</v>
      </c>
      <c r="N20" s="281"/>
      <c r="O20" s="281"/>
      <c r="P20" s="142"/>
      <c r="Q20" s="142"/>
      <c r="R20" s="142" t="str">
        <f t="shared" si="1"/>
        <v/>
      </c>
      <c r="S20" s="120"/>
    </row>
    <row r="21" spans="1:19" ht="15.75" customHeight="1">
      <c r="A21" s="105"/>
      <c r="B21" s="128"/>
      <c r="C21" s="105"/>
      <c r="D21" s="121"/>
      <c r="E21" s="105"/>
      <c r="F21" s="142"/>
      <c r="G21" s="158"/>
      <c r="H21" s="158"/>
      <c r="I21" s="158"/>
      <c r="J21" s="158"/>
      <c r="K21" s="158"/>
      <c r="L21" s="158"/>
      <c r="M21" s="158">
        <f t="shared" si="0"/>
        <v>0</v>
      </c>
      <c r="N21" s="281"/>
      <c r="O21" s="281"/>
      <c r="P21" s="142"/>
      <c r="Q21" s="142"/>
      <c r="R21" s="142" t="str">
        <f t="shared" si="1"/>
        <v/>
      </c>
      <c r="S21" s="120"/>
    </row>
    <row r="22" spans="1:19" ht="15.75" customHeight="1">
      <c r="A22" s="105"/>
      <c r="B22" s="128"/>
      <c r="C22" s="105"/>
      <c r="D22" s="121"/>
      <c r="E22" s="105"/>
      <c r="F22" s="142"/>
      <c r="G22" s="158"/>
      <c r="H22" s="158"/>
      <c r="I22" s="158"/>
      <c r="J22" s="158"/>
      <c r="K22" s="158"/>
      <c r="L22" s="158"/>
      <c r="M22" s="158">
        <f t="shared" si="0"/>
        <v>0</v>
      </c>
      <c r="N22" s="281"/>
      <c r="O22" s="281"/>
      <c r="P22" s="142"/>
      <c r="Q22" s="142"/>
      <c r="R22" s="142" t="str">
        <f t="shared" si="1"/>
        <v/>
      </c>
      <c r="S22" s="120"/>
    </row>
    <row r="23" spans="1:19" ht="15.75" customHeight="1">
      <c r="A23" s="105"/>
      <c r="B23" s="128"/>
      <c r="C23" s="105"/>
      <c r="D23" s="121"/>
      <c r="E23" s="105"/>
      <c r="F23" s="142"/>
      <c r="G23" s="158"/>
      <c r="H23" s="158"/>
      <c r="I23" s="158"/>
      <c r="J23" s="158"/>
      <c r="K23" s="158"/>
      <c r="L23" s="158"/>
      <c r="M23" s="158">
        <f t="shared" si="0"/>
        <v>0</v>
      </c>
      <c r="N23" s="281"/>
      <c r="O23" s="281"/>
      <c r="P23" s="142"/>
      <c r="Q23" s="142"/>
      <c r="R23" s="142" t="str">
        <f t="shared" si="1"/>
        <v/>
      </c>
      <c r="S23" s="120"/>
    </row>
    <row r="24" spans="1:19" ht="15.75" customHeight="1">
      <c r="A24" s="809" t="s">
        <v>54</v>
      </c>
      <c r="B24" s="810"/>
      <c r="C24" s="105"/>
      <c r="D24" s="121"/>
      <c r="E24" s="105"/>
      <c r="F24" s="142">
        <f>SUM(F6:F23)</f>
        <v>0</v>
      </c>
      <c r="G24" s="158">
        <f t="shared" ref="G24:P24" si="2">SUM(G6:G23)</f>
        <v>0</v>
      </c>
      <c r="H24" s="158">
        <f t="shared" si="2"/>
        <v>0</v>
      </c>
      <c r="I24" s="158">
        <f t="shared" si="2"/>
        <v>0</v>
      </c>
      <c r="J24" s="158">
        <f t="shared" si="2"/>
        <v>0</v>
      </c>
      <c r="K24" s="158">
        <f t="shared" si="2"/>
        <v>0</v>
      </c>
      <c r="L24" s="158">
        <f t="shared" si="2"/>
        <v>0</v>
      </c>
      <c r="M24" s="158">
        <f>SUM(G24:L24)-F24</f>
        <v>0</v>
      </c>
      <c r="N24" s="281">
        <f>SUM(N6:N23)</f>
        <v>0</v>
      </c>
      <c r="O24" s="281"/>
      <c r="P24" s="142">
        <f t="shared" si="2"/>
        <v>0</v>
      </c>
      <c r="Q24" s="142">
        <f>SUM(Q6:Q23)</f>
        <v>0</v>
      </c>
      <c r="R24" s="142" t="str">
        <f t="shared" si="1"/>
        <v/>
      </c>
      <c r="S24" s="120"/>
    </row>
    <row r="25" spans="1:19" ht="15.75" customHeight="1">
      <c r="A25" s="809" t="s">
        <v>419</v>
      </c>
      <c r="B25" s="810"/>
      <c r="C25" s="105"/>
      <c r="D25" s="121"/>
      <c r="E25" s="105"/>
      <c r="F25" s="142"/>
      <c r="G25" s="158"/>
      <c r="H25" s="158"/>
      <c r="I25" s="158"/>
      <c r="J25" s="158"/>
      <c r="K25" s="158"/>
      <c r="L25" s="158"/>
      <c r="M25" s="158">
        <f>SUM(G25:L25)-F25</f>
        <v>0</v>
      </c>
      <c r="N25" s="281"/>
      <c r="O25" s="281"/>
      <c r="P25" s="142">
        <f>F25</f>
        <v>0</v>
      </c>
      <c r="Q25" s="142">
        <v>0</v>
      </c>
      <c r="R25" s="142" t="str">
        <f>IF(P25=0,"",(Q25-P25)/P25*100)</f>
        <v/>
      </c>
      <c r="S25" s="120"/>
    </row>
    <row r="26" spans="1:19" ht="15.75" customHeight="1">
      <c r="A26" s="809" t="s">
        <v>417</v>
      </c>
      <c r="B26" s="810"/>
      <c r="C26" s="105"/>
      <c r="D26" s="121"/>
      <c r="E26" s="105"/>
      <c r="F26" s="142"/>
      <c r="G26" s="158"/>
      <c r="H26" s="158"/>
      <c r="I26" s="158"/>
      <c r="J26" s="158"/>
      <c r="K26" s="158"/>
      <c r="L26" s="158"/>
      <c r="M26" s="158"/>
      <c r="N26" s="281"/>
      <c r="O26" s="281"/>
      <c r="P26" s="142"/>
      <c r="Q26" s="142"/>
      <c r="R26" s="142" t="str">
        <f t="shared" si="1"/>
        <v/>
      </c>
      <c r="S26" s="120"/>
    </row>
    <row r="27" spans="1:19" ht="15.75" customHeight="1">
      <c r="A27" s="809" t="s">
        <v>418</v>
      </c>
      <c r="B27" s="810"/>
      <c r="C27" s="120"/>
      <c r="D27" s="121"/>
      <c r="E27" s="120"/>
      <c r="F27" s="142">
        <f>F24-F25-F26</f>
        <v>0</v>
      </c>
      <c r="G27" s="158">
        <f t="shared" ref="G27:Q27" si="3">G24-G25-G26</f>
        <v>0</v>
      </c>
      <c r="H27" s="158">
        <f t="shared" si="3"/>
        <v>0</v>
      </c>
      <c r="I27" s="158">
        <f t="shared" si="3"/>
        <v>0</v>
      </c>
      <c r="J27" s="158">
        <f t="shared" si="3"/>
        <v>0</v>
      </c>
      <c r="K27" s="158">
        <f t="shared" si="3"/>
        <v>0</v>
      </c>
      <c r="L27" s="158">
        <f t="shared" si="3"/>
        <v>0</v>
      </c>
      <c r="M27" s="158">
        <f t="shared" si="3"/>
        <v>0</v>
      </c>
      <c r="N27" s="281">
        <f t="shared" si="3"/>
        <v>0</v>
      </c>
      <c r="O27" s="281"/>
      <c r="P27" s="142">
        <f t="shared" si="3"/>
        <v>0</v>
      </c>
      <c r="Q27" s="142">
        <f t="shared" si="3"/>
        <v>0</v>
      </c>
      <c r="R27" s="142" t="str">
        <f>IF(P27=0,"",(Q27-P27)/P27*100)</f>
        <v/>
      </c>
      <c r="S27" s="120"/>
    </row>
    <row r="28" spans="1:19" ht="15.75" customHeight="1">
      <c r="A28" s="101" t="e">
        <f>#REF!&amp;#REF!</f>
        <v>#REF!</v>
      </c>
      <c r="G28" s="4"/>
      <c r="P28" s="115" t="e">
        <f>"评估人员："&amp;#REF!</f>
        <v>#REF!</v>
      </c>
    </row>
    <row r="29" spans="1:19" ht="15.75" customHeight="1">
      <c r="A29" s="101" t="e">
        <f>CONCATENATE(#REF!,#REF!,#REF!,#REF!,#REF!,#REF!,#REF!)</f>
        <v>#REF!</v>
      </c>
    </row>
    <row r="30" spans="1:19" ht="15.75" customHeight="1">
      <c r="B30" s="112" t="s">
        <v>300</v>
      </c>
      <c r="C30" s="3" t="s">
        <v>339</v>
      </c>
    </row>
    <row r="31" spans="1:19" ht="15.75" customHeight="1">
      <c r="B31" s="106" t="s">
        <v>309</v>
      </c>
      <c r="C31" s="4" t="s">
        <v>301</v>
      </c>
    </row>
    <row r="32" spans="1:19" ht="15.75" customHeight="1">
      <c r="C32" s="4" t="s">
        <v>302</v>
      </c>
      <c r="G32" s="139"/>
    </row>
    <row r="33" spans="3:7" ht="15.75" customHeight="1">
      <c r="C33" s="4" t="s">
        <v>78</v>
      </c>
      <c r="G33" s="139"/>
    </row>
    <row r="34" spans="3:7" ht="15.75" customHeight="1">
      <c r="C34" s="4" t="s">
        <v>303</v>
      </c>
    </row>
  </sheetData>
  <mergeCells count="8">
    <mergeCell ref="A27:B27"/>
    <mergeCell ref="A2:S2"/>
    <mergeCell ref="A3:S3"/>
    <mergeCell ref="M4:M5"/>
    <mergeCell ref="N4:N5"/>
    <mergeCell ref="A24:B24"/>
    <mergeCell ref="A25:B25"/>
    <mergeCell ref="A26:B26"/>
  </mergeCells>
  <phoneticPr fontId="6" type="noConversion"/>
  <hyperlinks>
    <hyperlink ref="A1" location="索引目录!D13" display="应收账款"/>
    <hyperlink ref="B1" location="流动汇总!B9" display="应收帐款"/>
  </hyperlinks>
  <printOptions horizontalCentered="1"/>
  <pageMargins left="0.35433070866141736" right="0.35433070866141736" top="0.78740157480314965" bottom="0.78740157480314965" header="1.03" footer="0.51181102362204722"/>
  <pageSetup paperSize="9" scale="59" fitToHeight="0" orientation="landscape" horizontalDpi="4294967292" r:id="rId1"/>
  <headerFooter alignWithMargins="0">
    <oddHeader>&amp;R&amp;"宋体,常规"&amp;10表&amp;"Times New Roman,常规"3-4
&amp;"宋体,常规"共&amp;"Times New Roman,常规"&amp;N&amp;"宋体,常规"页第&amp;"Times New Roman,常规"&amp;P&amp;"宋体,常规"页</oddHead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pageSetUpPr fitToPage="1"/>
  </sheetPr>
  <dimension ref="A1:L29"/>
  <sheetViews>
    <sheetView workbookViewId="0">
      <selection activeCell="H10" sqref="H10"/>
    </sheetView>
  </sheetViews>
  <sheetFormatPr defaultRowHeight="15.75" customHeight="1" outlineLevelCol="1"/>
  <cols>
    <col min="1" max="1" width="6.375" style="4" customWidth="1"/>
    <col min="2" max="2" width="21.75" style="4" customWidth="1"/>
    <col min="3" max="3" width="16.25" style="4" customWidth="1"/>
    <col min="4" max="4" width="12" style="4" customWidth="1"/>
    <col min="5" max="5" width="10.625" style="4" customWidth="1"/>
    <col min="6" max="7" width="13.125" style="4" customWidth="1" outlineLevel="1"/>
    <col min="8" max="8" width="15.75" style="4" customWidth="1" outlineLevel="1"/>
    <col min="9" max="10" width="15.75" style="4" customWidth="1"/>
    <col min="11" max="11" width="10.875" style="4" customWidth="1"/>
    <col min="12" max="12" width="12.625" style="4" customWidth="1"/>
    <col min="13" max="16384" width="9" style="4"/>
  </cols>
  <sheetData>
    <row r="1" spans="1:12" ht="14.25">
      <c r="A1" s="272" t="s">
        <v>130</v>
      </c>
      <c r="B1" s="196" t="s">
        <v>132</v>
      </c>
      <c r="C1" s="1"/>
      <c r="D1" s="1"/>
      <c r="E1" s="1"/>
      <c r="F1" s="1"/>
      <c r="G1" s="1"/>
      <c r="H1" s="1"/>
      <c r="I1" s="1"/>
      <c r="J1" s="1"/>
      <c r="K1" s="1"/>
      <c r="L1" s="1"/>
    </row>
    <row r="2" spans="1:12" s="114" customFormat="1" ht="30" customHeight="1">
      <c r="A2" s="790" t="s">
        <v>906</v>
      </c>
      <c r="B2" s="791"/>
      <c r="C2" s="791"/>
      <c r="D2" s="791"/>
      <c r="E2" s="791"/>
      <c r="F2" s="791"/>
      <c r="G2" s="791"/>
      <c r="H2" s="791"/>
      <c r="I2" s="791"/>
      <c r="J2" s="791"/>
      <c r="K2" s="791"/>
      <c r="L2" s="791"/>
    </row>
    <row r="3" spans="1:12" ht="14.1" customHeight="1">
      <c r="A3" s="792" t="e">
        <f>CONCATENATE(#REF!,#REF!,#REF!,#REF!,#REF!,#REF!,#REF!)</f>
        <v>#REF!</v>
      </c>
      <c r="B3" s="792"/>
      <c r="C3" s="792"/>
      <c r="D3" s="792"/>
      <c r="E3" s="792"/>
      <c r="F3" s="792"/>
      <c r="G3" s="792"/>
      <c r="H3" s="792"/>
      <c r="I3" s="792"/>
      <c r="J3" s="808"/>
      <c r="K3" s="808"/>
      <c r="L3" s="808"/>
    </row>
    <row r="4" spans="1:12" ht="15.75" customHeight="1">
      <c r="A4" s="115" t="e">
        <f>#REF!&amp;#REF!</f>
        <v>#REF!</v>
      </c>
      <c r="L4" s="106" t="s">
        <v>3</v>
      </c>
    </row>
    <row r="5" spans="1:12" s="1" customFormat="1" ht="15.75" customHeight="1">
      <c r="A5" s="2" t="s">
        <v>4</v>
      </c>
      <c r="B5" s="2" t="s">
        <v>304</v>
      </c>
      <c r="C5" s="2" t="s">
        <v>52</v>
      </c>
      <c r="D5" s="2" t="s">
        <v>53</v>
      </c>
      <c r="E5" s="2" t="s">
        <v>349</v>
      </c>
      <c r="F5" s="2" t="s">
        <v>426</v>
      </c>
      <c r="G5" s="383" t="s">
        <v>941</v>
      </c>
      <c r="H5" s="2" t="s">
        <v>710</v>
      </c>
      <c r="I5" s="2" t="s">
        <v>315</v>
      </c>
      <c r="J5" s="2" t="s">
        <v>0</v>
      </c>
      <c r="K5" s="2" t="s">
        <v>20</v>
      </c>
      <c r="L5" s="2" t="s">
        <v>72</v>
      </c>
    </row>
    <row r="6" spans="1:12" ht="15.75" customHeight="1">
      <c r="A6" s="105"/>
      <c r="B6" s="128"/>
      <c r="C6" s="105"/>
      <c r="D6" s="121"/>
      <c r="E6" s="105"/>
      <c r="F6" s="142"/>
      <c r="G6" s="142"/>
      <c r="H6" s="142"/>
      <c r="I6" s="142"/>
      <c r="J6" s="142"/>
      <c r="K6" s="142" t="str">
        <f t="shared" ref="K6:K27" si="0">IF(I6=0,"",(J6-I6)/I6*100)</f>
        <v/>
      </c>
      <c r="L6" s="120"/>
    </row>
    <row r="7" spans="1:12" ht="15.75" customHeight="1">
      <c r="A7" s="105"/>
      <c r="B7" s="128"/>
      <c r="C7" s="105"/>
      <c r="D7" s="121"/>
      <c r="E7" s="120"/>
      <c r="F7" s="142"/>
      <c r="G7" s="142"/>
      <c r="H7" s="142"/>
      <c r="I7" s="142"/>
      <c r="J7" s="142"/>
      <c r="K7" s="142" t="str">
        <f t="shared" si="0"/>
        <v/>
      </c>
      <c r="L7" s="120"/>
    </row>
    <row r="8" spans="1:12" ht="15.75" customHeight="1">
      <c r="A8" s="105"/>
      <c r="B8" s="128"/>
      <c r="C8" s="105"/>
      <c r="D8" s="121"/>
      <c r="E8" s="120"/>
      <c r="F8" s="142"/>
      <c r="G8" s="142"/>
      <c r="H8" s="142"/>
      <c r="I8" s="142"/>
      <c r="J8" s="142"/>
      <c r="K8" s="142" t="str">
        <f t="shared" si="0"/>
        <v/>
      </c>
      <c r="L8" s="120"/>
    </row>
    <row r="9" spans="1:12" ht="15.75" customHeight="1">
      <c r="A9" s="105"/>
      <c r="B9" s="128"/>
      <c r="C9" s="105"/>
      <c r="D9" s="121"/>
      <c r="E9" s="120"/>
      <c r="F9" s="142"/>
      <c r="G9" s="142"/>
      <c r="H9" s="142"/>
      <c r="I9" s="142"/>
      <c r="J9" s="142"/>
      <c r="K9" s="142" t="str">
        <f t="shared" si="0"/>
        <v/>
      </c>
      <c r="L9" s="120"/>
    </row>
    <row r="10" spans="1:12" ht="15.75" customHeight="1">
      <c r="A10" s="105"/>
      <c r="B10" s="128"/>
      <c r="C10" s="105"/>
      <c r="D10" s="121"/>
      <c r="E10" s="120"/>
      <c r="F10" s="142"/>
      <c r="G10" s="142"/>
      <c r="H10" s="142"/>
      <c r="I10" s="142"/>
      <c r="J10" s="142"/>
      <c r="K10" s="142" t="str">
        <f t="shared" si="0"/>
        <v/>
      </c>
      <c r="L10" s="120"/>
    </row>
    <row r="11" spans="1:12" ht="15.75" customHeight="1">
      <c r="A11" s="105"/>
      <c r="B11" s="128"/>
      <c r="C11" s="105"/>
      <c r="D11" s="121"/>
      <c r="E11" s="120"/>
      <c r="F11" s="142"/>
      <c r="G11" s="142"/>
      <c r="H11" s="142"/>
      <c r="I11" s="142"/>
      <c r="J11" s="142"/>
      <c r="K11" s="142" t="str">
        <f t="shared" si="0"/>
        <v/>
      </c>
      <c r="L11" s="120"/>
    </row>
    <row r="12" spans="1:12" ht="15.75" customHeight="1">
      <c r="A12" s="105"/>
      <c r="B12" s="128"/>
      <c r="C12" s="105"/>
      <c r="D12" s="121"/>
      <c r="E12" s="120"/>
      <c r="F12" s="142"/>
      <c r="G12" s="142"/>
      <c r="H12" s="142"/>
      <c r="I12" s="142"/>
      <c r="J12" s="142"/>
      <c r="K12" s="142" t="str">
        <f t="shared" si="0"/>
        <v/>
      </c>
      <c r="L12" s="120"/>
    </row>
    <row r="13" spans="1:12" ht="15.75" customHeight="1">
      <c r="A13" s="105"/>
      <c r="B13" s="128"/>
      <c r="C13" s="105"/>
      <c r="D13" s="121"/>
      <c r="E13" s="120"/>
      <c r="F13" s="142"/>
      <c r="G13" s="142"/>
      <c r="H13" s="142"/>
      <c r="I13" s="142"/>
      <c r="J13" s="142"/>
      <c r="K13" s="142" t="str">
        <f t="shared" si="0"/>
        <v/>
      </c>
      <c r="L13" s="120"/>
    </row>
    <row r="14" spans="1:12" ht="15.75" customHeight="1">
      <c r="A14" s="105"/>
      <c r="B14" s="128"/>
      <c r="C14" s="105"/>
      <c r="D14" s="121"/>
      <c r="E14" s="120"/>
      <c r="F14" s="142"/>
      <c r="G14" s="142"/>
      <c r="H14" s="142"/>
      <c r="I14" s="142"/>
      <c r="J14" s="142"/>
      <c r="K14" s="142" t="str">
        <f t="shared" si="0"/>
        <v/>
      </c>
      <c r="L14" s="120"/>
    </row>
    <row r="15" spans="1:12" ht="15.75" customHeight="1">
      <c r="A15" s="105"/>
      <c r="B15" s="128"/>
      <c r="C15" s="105"/>
      <c r="D15" s="121"/>
      <c r="E15" s="120"/>
      <c r="F15" s="142"/>
      <c r="G15" s="142"/>
      <c r="H15" s="142"/>
      <c r="I15" s="142"/>
      <c r="J15" s="142"/>
      <c r="K15" s="142" t="str">
        <f t="shared" si="0"/>
        <v/>
      </c>
      <c r="L15" s="120"/>
    </row>
    <row r="16" spans="1:12" ht="15.75" customHeight="1">
      <c r="A16" s="105"/>
      <c r="B16" s="128"/>
      <c r="C16" s="105"/>
      <c r="D16" s="121"/>
      <c r="E16" s="120"/>
      <c r="F16" s="142"/>
      <c r="G16" s="142"/>
      <c r="H16" s="142"/>
      <c r="I16" s="142"/>
      <c r="J16" s="142"/>
      <c r="K16" s="142" t="str">
        <f t="shared" si="0"/>
        <v/>
      </c>
      <c r="L16" s="120"/>
    </row>
    <row r="17" spans="1:12" ht="15.75" customHeight="1">
      <c r="A17" s="105"/>
      <c r="B17" s="128"/>
      <c r="C17" s="105"/>
      <c r="D17" s="121"/>
      <c r="E17" s="120"/>
      <c r="F17" s="142"/>
      <c r="G17" s="142"/>
      <c r="H17" s="142"/>
      <c r="I17" s="142"/>
      <c r="J17" s="142"/>
      <c r="K17" s="142" t="str">
        <f t="shared" si="0"/>
        <v/>
      </c>
      <c r="L17" s="120"/>
    </row>
    <row r="18" spans="1:12" ht="15.75" customHeight="1">
      <c r="A18" s="105"/>
      <c r="B18" s="128"/>
      <c r="C18" s="105"/>
      <c r="D18" s="121"/>
      <c r="E18" s="120"/>
      <c r="F18" s="142"/>
      <c r="G18" s="142"/>
      <c r="H18" s="142"/>
      <c r="I18" s="142"/>
      <c r="J18" s="142"/>
      <c r="K18" s="142" t="str">
        <f t="shared" si="0"/>
        <v/>
      </c>
      <c r="L18" s="120"/>
    </row>
    <row r="19" spans="1:12" ht="15.75" customHeight="1">
      <c r="A19" s="105"/>
      <c r="B19" s="128"/>
      <c r="C19" s="105"/>
      <c r="D19" s="121"/>
      <c r="E19" s="120"/>
      <c r="F19" s="142"/>
      <c r="G19" s="142"/>
      <c r="H19" s="142"/>
      <c r="I19" s="142"/>
      <c r="J19" s="142"/>
      <c r="K19" s="142" t="str">
        <f t="shared" si="0"/>
        <v/>
      </c>
      <c r="L19" s="120"/>
    </row>
    <row r="20" spans="1:12" ht="15.75" customHeight="1">
      <c r="A20" s="105"/>
      <c r="B20" s="128"/>
      <c r="C20" s="105"/>
      <c r="D20" s="121"/>
      <c r="E20" s="120"/>
      <c r="F20" s="142"/>
      <c r="G20" s="142"/>
      <c r="H20" s="142"/>
      <c r="I20" s="142"/>
      <c r="J20" s="142"/>
      <c r="K20" s="142" t="str">
        <f t="shared" si="0"/>
        <v/>
      </c>
      <c r="L20" s="120"/>
    </row>
    <row r="21" spans="1:12" ht="15.75" customHeight="1">
      <c r="A21" s="105"/>
      <c r="B21" s="128"/>
      <c r="C21" s="105"/>
      <c r="D21" s="121"/>
      <c r="E21" s="120"/>
      <c r="F21" s="142"/>
      <c r="G21" s="142"/>
      <c r="H21" s="142"/>
      <c r="I21" s="142"/>
      <c r="J21" s="142"/>
      <c r="K21" s="142" t="str">
        <f t="shared" si="0"/>
        <v/>
      </c>
      <c r="L21" s="120"/>
    </row>
    <row r="22" spans="1:12" ht="15.75" customHeight="1">
      <c r="A22" s="105"/>
      <c r="B22" s="128"/>
      <c r="C22" s="105"/>
      <c r="D22" s="121"/>
      <c r="E22" s="120"/>
      <c r="F22" s="142"/>
      <c r="G22" s="142"/>
      <c r="H22" s="142"/>
      <c r="I22" s="142"/>
      <c r="J22" s="142"/>
      <c r="K22" s="142" t="str">
        <f t="shared" si="0"/>
        <v/>
      </c>
      <c r="L22" s="120"/>
    </row>
    <row r="23" spans="1:12" ht="15.75" customHeight="1">
      <c r="A23" s="105"/>
      <c r="B23" s="128"/>
      <c r="C23" s="105"/>
      <c r="D23" s="121"/>
      <c r="E23" s="120"/>
      <c r="F23" s="142"/>
      <c r="G23" s="142"/>
      <c r="H23" s="142"/>
      <c r="I23" s="142"/>
      <c r="J23" s="142"/>
      <c r="K23" s="142" t="str">
        <f t="shared" si="0"/>
        <v/>
      </c>
      <c r="L23" s="120"/>
    </row>
    <row r="24" spans="1:12" ht="15.75" customHeight="1">
      <c r="A24" s="105"/>
      <c r="B24" s="128"/>
      <c r="C24" s="105"/>
      <c r="D24" s="121"/>
      <c r="E24" s="120"/>
      <c r="F24" s="142"/>
      <c r="G24" s="142"/>
      <c r="H24" s="142"/>
      <c r="I24" s="142"/>
      <c r="J24" s="142"/>
      <c r="K24" s="142" t="str">
        <f t="shared" si="0"/>
        <v/>
      </c>
      <c r="L24" s="120"/>
    </row>
    <row r="25" spans="1:12" ht="15.75" customHeight="1">
      <c r="A25" s="105"/>
      <c r="B25" s="128"/>
      <c r="C25" s="105"/>
      <c r="D25" s="121"/>
      <c r="E25" s="120"/>
      <c r="F25" s="142"/>
      <c r="G25" s="142"/>
      <c r="H25" s="142"/>
      <c r="I25" s="142"/>
      <c r="J25" s="142"/>
      <c r="K25" s="142" t="str">
        <f>IF(I25=0,"",(J25-I25)/I25*100)</f>
        <v/>
      </c>
      <c r="L25" s="120"/>
    </row>
    <row r="26" spans="1:12" ht="15.75" customHeight="1">
      <c r="A26" s="105"/>
      <c r="B26" s="128"/>
      <c r="C26" s="105"/>
      <c r="D26" s="121"/>
      <c r="E26" s="120"/>
      <c r="F26" s="142"/>
      <c r="G26" s="142"/>
      <c r="H26" s="142"/>
      <c r="I26" s="142"/>
      <c r="J26" s="142"/>
      <c r="K26" s="142" t="str">
        <f>IF(I26=0,"",(J26-I26)/I26*100)</f>
        <v/>
      </c>
      <c r="L26" s="120"/>
    </row>
    <row r="27" spans="1:12" ht="15.75" customHeight="1">
      <c r="A27" s="809" t="s">
        <v>54</v>
      </c>
      <c r="B27" s="810"/>
      <c r="C27" s="120"/>
      <c r="D27" s="121"/>
      <c r="E27" s="120"/>
      <c r="F27" s="142">
        <f>SUM(F6:F26)</f>
        <v>0</v>
      </c>
      <c r="G27" s="142"/>
      <c r="H27" s="142"/>
      <c r="I27" s="142">
        <f>SUM(I6:I26)</f>
        <v>0</v>
      </c>
      <c r="J27" s="142">
        <f>SUM(J6:J26)</f>
        <v>0</v>
      </c>
      <c r="K27" s="142" t="str">
        <f t="shared" si="0"/>
        <v/>
      </c>
      <c r="L27" s="120"/>
    </row>
    <row r="28" spans="1:12" ht="15.75" customHeight="1">
      <c r="A28" s="101" t="e">
        <f>#REF!&amp;#REF!</f>
        <v>#REF!</v>
      </c>
      <c r="I28" s="115" t="e">
        <f>"评估人员："&amp;#REF!</f>
        <v>#REF!</v>
      </c>
    </row>
    <row r="29" spans="1:12" ht="15.75" customHeight="1">
      <c r="A29" s="101" t="e">
        <f>CONCATENATE(#REF!,#REF!,#REF!,#REF!,#REF!,#REF!,#REF!)</f>
        <v>#REF!</v>
      </c>
    </row>
  </sheetData>
  <mergeCells count="3">
    <mergeCell ref="A2:L2"/>
    <mergeCell ref="A3:L3"/>
    <mergeCell ref="A27:B27"/>
  </mergeCells>
  <phoneticPr fontId="6" type="noConversion"/>
  <hyperlinks>
    <hyperlink ref="A1" location="索引目录!D14" display="预付账款"/>
    <hyperlink ref="B1" location="流动汇总!B10" display="预付账款"/>
  </hyperlinks>
  <printOptions horizontalCentered="1"/>
  <pageMargins left="0.35433070866141736" right="0.35433070866141736" top="0.78740157480314965" bottom="0.78740157480314965" header="1.02" footer="0.51181102362204722"/>
  <pageSetup paperSize="9" scale="80" fitToHeight="0" orientation="landscape" horizontalDpi="4294967292" r:id="rId1"/>
  <headerFooter alignWithMargins="0">
    <oddHeader>&amp;R&amp;"宋体,常规"&amp;10表&amp;"Times New Roman,常规"3-5
&amp;"宋体,常规"共&amp;"Times New Roman,常规"&amp;N&amp;"宋体,常规"页第&amp;"Times New Roman,常规"&amp;P&amp;"宋体,常规"页</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54"/>
  <sheetViews>
    <sheetView showGridLines="0" topLeftCell="A25" zoomScaleNormal="75" workbookViewId="0">
      <selection activeCell="H10" sqref="H10"/>
    </sheetView>
  </sheetViews>
  <sheetFormatPr defaultRowHeight="15.75"/>
  <cols>
    <col min="1" max="1" width="1.5" style="24" customWidth="1"/>
    <col min="2" max="2" width="13.5" style="24" customWidth="1"/>
    <col min="3" max="3" width="15.75" style="24" customWidth="1"/>
    <col min="4" max="4" width="18.125" style="24" customWidth="1"/>
    <col min="5" max="5" width="17.25" style="24" bestFit="1" customWidth="1"/>
    <col min="6" max="6" width="8.25" style="24" customWidth="1"/>
    <col min="7" max="7" width="4.875" style="24" customWidth="1"/>
    <col min="8" max="9" width="12.75" style="24" customWidth="1"/>
    <col min="10" max="16384" width="9" style="24"/>
  </cols>
  <sheetData>
    <row r="1" spans="1:10" ht="18.75">
      <c r="A1" s="21" t="s">
        <v>111</v>
      </c>
      <c r="B1" s="22"/>
      <c r="C1" s="22"/>
      <c r="D1" s="22"/>
      <c r="E1" s="22"/>
      <c r="F1" s="22"/>
      <c r="G1" s="22"/>
      <c r="H1" s="22"/>
      <c r="I1" s="22"/>
      <c r="J1" s="23"/>
    </row>
    <row r="2" spans="1:10">
      <c r="A2" s="25"/>
      <c r="B2" s="28" t="s">
        <v>112</v>
      </c>
      <c r="C2" s="19"/>
      <c r="D2" s="19"/>
      <c r="E2" s="19"/>
      <c r="F2" s="19"/>
      <c r="G2" s="17"/>
      <c r="H2" s="19"/>
      <c r="I2" s="19"/>
      <c r="J2" s="26"/>
    </row>
    <row r="3" spans="1:10">
      <c r="A3" s="27"/>
      <c r="B3" s="706" t="s">
        <v>408</v>
      </c>
      <c r="C3" s="706"/>
      <c r="E3" s="29"/>
      <c r="F3" s="29"/>
      <c r="G3" s="18"/>
      <c r="H3" s="29"/>
      <c r="I3" s="29"/>
      <c r="J3" s="30"/>
    </row>
    <row r="4" spans="1:10">
      <c r="A4" s="52"/>
      <c r="B4" s="53" t="s">
        <v>313</v>
      </c>
      <c r="C4" s="53" t="s">
        <v>407</v>
      </c>
      <c r="D4" s="54" t="s">
        <v>113</v>
      </c>
      <c r="E4" s="16" t="s">
        <v>321</v>
      </c>
      <c r="F4" s="55"/>
      <c r="G4" s="55"/>
      <c r="H4" s="19"/>
      <c r="I4" s="19"/>
      <c r="J4" s="26"/>
    </row>
    <row r="5" spans="1:10">
      <c r="A5" s="25"/>
      <c r="B5" s="19"/>
      <c r="C5" s="19"/>
      <c r="D5" s="19"/>
      <c r="E5" s="19"/>
      <c r="F5" s="19"/>
      <c r="G5" s="19"/>
      <c r="H5" s="19"/>
      <c r="I5" s="19"/>
      <c r="J5" s="26"/>
    </row>
    <row r="6" spans="1:10">
      <c r="A6" s="25"/>
      <c r="C6" s="16" t="s">
        <v>114</v>
      </c>
      <c r="D6" s="16" t="s">
        <v>115</v>
      </c>
      <c r="E6" s="16" t="s">
        <v>89</v>
      </c>
      <c r="F6" s="16"/>
      <c r="G6" s="16" t="s">
        <v>116</v>
      </c>
      <c r="H6" s="16"/>
      <c r="I6" s="16" t="s">
        <v>90</v>
      </c>
      <c r="J6" s="26"/>
    </row>
    <row r="7" spans="1:10">
      <c r="A7" s="25"/>
      <c r="B7" s="19"/>
      <c r="C7" s="19"/>
      <c r="D7" s="19"/>
      <c r="E7" s="16" t="s">
        <v>91</v>
      </c>
      <c r="F7" s="16"/>
      <c r="G7" s="16"/>
      <c r="H7" s="16"/>
      <c r="I7" s="16" t="s">
        <v>450</v>
      </c>
      <c r="J7" s="32"/>
    </row>
    <row r="8" spans="1:10">
      <c r="A8" s="25"/>
      <c r="B8" s="19"/>
      <c r="C8" s="19"/>
      <c r="D8" s="19"/>
      <c r="E8" s="16" t="s">
        <v>93</v>
      </c>
      <c r="F8" s="16"/>
      <c r="G8" s="16"/>
      <c r="H8" s="16"/>
      <c r="I8" s="16" t="s">
        <v>92</v>
      </c>
      <c r="J8" s="32"/>
    </row>
    <row r="9" spans="1:10">
      <c r="A9" s="25"/>
      <c r="B9" s="19"/>
      <c r="C9" s="19"/>
      <c r="D9" s="16" t="s">
        <v>428</v>
      </c>
      <c r="E9" s="16" t="s">
        <v>660</v>
      </c>
      <c r="F9" s="16"/>
      <c r="G9" s="16"/>
      <c r="H9" s="16"/>
      <c r="I9" s="16" t="s">
        <v>340</v>
      </c>
      <c r="J9" s="32"/>
    </row>
    <row r="10" spans="1:10">
      <c r="A10" s="25"/>
      <c r="B10" s="19"/>
      <c r="C10" s="19"/>
      <c r="E10" s="16" t="s">
        <v>117</v>
      </c>
      <c r="F10" s="16"/>
      <c r="G10" s="16"/>
      <c r="H10" s="16"/>
      <c r="I10" s="16" t="s">
        <v>451</v>
      </c>
      <c r="J10" s="32"/>
    </row>
    <row r="11" spans="1:10">
      <c r="A11" s="25"/>
      <c r="B11" s="19"/>
      <c r="C11" s="19"/>
      <c r="E11" s="16" t="s">
        <v>661</v>
      </c>
      <c r="F11" s="19"/>
      <c r="G11" s="16"/>
      <c r="H11" s="16"/>
      <c r="I11" s="16" t="s">
        <v>452</v>
      </c>
      <c r="J11" s="26"/>
    </row>
    <row r="12" spans="1:10">
      <c r="A12" s="25"/>
      <c r="B12" s="19"/>
      <c r="C12" s="19"/>
      <c r="D12" s="16" t="s">
        <v>94</v>
      </c>
      <c r="F12" s="19"/>
      <c r="G12" s="16"/>
      <c r="H12" s="16"/>
      <c r="I12" s="16" t="s">
        <v>606</v>
      </c>
      <c r="J12" s="26"/>
    </row>
    <row r="13" spans="1:10">
      <c r="A13" s="25"/>
      <c r="B13" s="19"/>
      <c r="C13" s="19"/>
      <c r="D13" s="16" t="s">
        <v>344</v>
      </c>
      <c r="F13" s="19"/>
      <c r="G13" s="16"/>
      <c r="H13" s="16"/>
      <c r="I13" s="16" t="s">
        <v>607</v>
      </c>
      <c r="J13" s="26"/>
    </row>
    <row r="14" spans="1:10">
      <c r="A14" s="25"/>
      <c r="B14" s="19"/>
      <c r="C14" s="19"/>
      <c r="D14" s="16" t="s">
        <v>345</v>
      </c>
      <c r="F14" s="19"/>
      <c r="G14" s="16"/>
      <c r="H14" s="16"/>
      <c r="I14" s="16" t="s">
        <v>643</v>
      </c>
      <c r="J14" s="26"/>
    </row>
    <row r="15" spans="1:10">
      <c r="A15" s="25"/>
      <c r="B15" s="19"/>
      <c r="C15" s="19"/>
      <c r="D15" s="16" t="s">
        <v>8</v>
      </c>
      <c r="F15" s="19"/>
      <c r="G15" s="16"/>
      <c r="H15" s="16"/>
      <c r="I15" s="16" t="s">
        <v>608</v>
      </c>
    </row>
    <row r="16" spans="1:10">
      <c r="A16" s="25"/>
      <c r="B16" s="19"/>
      <c r="C16" s="19"/>
      <c r="D16" s="16" t="s">
        <v>95</v>
      </c>
      <c r="F16" s="19"/>
      <c r="G16" s="16"/>
      <c r="H16" s="16"/>
      <c r="I16" s="16" t="s">
        <v>609</v>
      </c>
      <c r="J16" s="26"/>
    </row>
    <row r="17" spans="1:10">
      <c r="A17" s="25"/>
      <c r="B17" s="19"/>
      <c r="C17" s="19"/>
      <c r="D17" s="16" t="s">
        <v>96</v>
      </c>
      <c r="F17" s="19"/>
      <c r="G17" s="16"/>
      <c r="H17" s="16"/>
      <c r="I17" s="16" t="s">
        <v>610</v>
      </c>
      <c r="J17" s="26"/>
    </row>
    <row r="18" spans="1:10">
      <c r="A18" s="25"/>
      <c r="B18" s="19"/>
      <c r="C18" s="19"/>
      <c r="D18" s="16" t="s">
        <v>118</v>
      </c>
      <c r="E18" s="16" t="s">
        <v>98</v>
      </c>
      <c r="F18" s="19"/>
      <c r="G18" s="16"/>
      <c r="H18" s="16"/>
      <c r="I18" s="16"/>
      <c r="J18" s="26"/>
    </row>
    <row r="19" spans="1:10">
      <c r="A19" s="25"/>
      <c r="B19" s="19"/>
      <c r="C19" s="19"/>
      <c r="D19" s="16"/>
      <c r="E19" s="16" t="s">
        <v>97</v>
      </c>
      <c r="F19" s="19"/>
      <c r="G19" s="16"/>
      <c r="H19" s="16"/>
      <c r="I19" s="16"/>
      <c r="J19" s="26"/>
    </row>
    <row r="20" spans="1:10">
      <c r="A20" s="25"/>
      <c r="B20" s="19"/>
      <c r="C20" s="19"/>
      <c r="D20" s="16"/>
      <c r="E20" s="16" t="s">
        <v>662</v>
      </c>
      <c r="F20" s="16"/>
      <c r="G20" s="16" t="s">
        <v>687</v>
      </c>
      <c r="H20" s="16"/>
      <c r="I20" s="16" t="s">
        <v>101</v>
      </c>
      <c r="J20" s="26"/>
    </row>
    <row r="21" spans="1:10">
      <c r="A21" s="25"/>
      <c r="B21" s="19"/>
      <c r="C21" s="19"/>
      <c r="E21" s="16" t="s">
        <v>517</v>
      </c>
      <c r="F21" s="16"/>
      <c r="G21" s="16"/>
      <c r="H21" s="16"/>
      <c r="I21" s="16" t="s">
        <v>647</v>
      </c>
      <c r="J21" s="26"/>
    </row>
    <row r="22" spans="1:10">
      <c r="A22" s="25"/>
      <c r="B22" s="19"/>
      <c r="C22" s="19"/>
      <c r="E22" s="16" t="s">
        <v>99</v>
      </c>
      <c r="F22" s="16"/>
      <c r="G22" s="16"/>
      <c r="H22" s="16"/>
      <c r="I22" s="16" t="s">
        <v>102</v>
      </c>
      <c r="J22" s="26"/>
    </row>
    <row r="23" spans="1:10">
      <c r="A23" s="25"/>
      <c r="B23" s="19"/>
      <c r="C23" s="19"/>
      <c r="E23" s="16" t="s">
        <v>100</v>
      </c>
      <c r="F23" s="16"/>
      <c r="G23" s="16"/>
      <c r="H23" s="16"/>
      <c r="I23" s="16" t="s">
        <v>648</v>
      </c>
      <c r="J23" s="26"/>
    </row>
    <row r="24" spans="1:10">
      <c r="A24" s="25"/>
      <c r="E24" s="16" t="s">
        <v>516</v>
      </c>
      <c r="F24" s="16"/>
      <c r="G24" s="16"/>
      <c r="H24" s="16"/>
      <c r="I24" s="16" t="s">
        <v>649</v>
      </c>
      <c r="J24" s="26"/>
    </row>
    <row r="25" spans="1:10">
      <c r="A25" s="25"/>
      <c r="E25" s="16" t="s">
        <v>663</v>
      </c>
      <c r="F25" s="16"/>
      <c r="G25" s="16"/>
      <c r="H25" s="16"/>
      <c r="I25" s="16" t="s">
        <v>650</v>
      </c>
      <c r="J25" s="26"/>
    </row>
    <row r="26" spans="1:10">
      <c r="A26" s="25"/>
      <c r="D26" s="16" t="s">
        <v>664</v>
      </c>
      <c r="E26" s="16"/>
      <c r="G26" s="16"/>
      <c r="H26" s="16"/>
      <c r="I26" s="16" t="s">
        <v>651</v>
      </c>
      <c r="J26" s="26"/>
    </row>
    <row r="27" spans="1:10">
      <c r="A27" s="25"/>
      <c r="D27" s="16" t="s">
        <v>462</v>
      </c>
      <c r="E27" s="16"/>
      <c r="G27" s="19"/>
      <c r="H27" s="19"/>
      <c r="I27" s="19"/>
      <c r="J27" s="26"/>
    </row>
    <row r="28" spans="1:10">
      <c r="A28" s="25"/>
      <c r="B28" s="19"/>
      <c r="C28" s="16" t="s">
        <v>119</v>
      </c>
      <c r="D28" s="16" t="s">
        <v>665</v>
      </c>
      <c r="E28" s="16" t="s">
        <v>660</v>
      </c>
      <c r="F28" s="20"/>
      <c r="G28" s="19"/>
      <c r="H28" s="19"/>
      <c r="I28" s="19"/>
      <c r="J28" s="26"/>
    </row>
    <row r="29" spans="1:10">
      <c r="A29" s="25"/>
      <c r="D29" s="16"/>
      <c r="E29" s="16" t="s">
        <v>117</v>
      </c>
      <c r="F29" s="16"/>
      <c r="G29" s="19"/>
      <c r="H29" s="19"/>
      <c r="I29" s="19"/>
      <c r="J29" s="26"/>
    </row>
    <row r="30" spans="1:10">
      <c r="A30" s="25"/>
      <c r="B30" s="19"/>
      <c r="D30" s="16"/>
      <c r="E30" s="16" t="s">
        <v>669</v>
      </c>
      <c r="F30" s="20"/>
      <c r="G30" s="19"/>
      <c r="H30" s="19"/>
      <c r="I30" s="19"/>
      <c r="J30" s="26"/>
    </row>
    <row r="31" spans="1:10">
      <c r="A31" s="25"/>
      <c r="B31" s="19"/>
      <c r="C31" s="19"/>
      <c r="D31" s="16" t="s">
        <v>666</v>
      </c>
      <c r="E31" s="16"/>
      <c r="F31" s="20"/>
      <c r="G31" s="19"/>
      <c r="H31" s="19"/>
      <c r="I31" s="19"/>
      <c r="J31" s="26"/>
    </row>
    <row r="32" spans="1:10" ht="14.25" customHeight="1">
      <c r="A32" s="25"/>
      <c r="B32" s="19"/>
      <c r="C32" s="19"/>
      <c r="D32" s="16" t="s">
        <v>435</v>
      </c>
      <c r="E32" s="16"/>
      <c r="F32" s="20"/>
      <c r="G32" s="19"/>
      <c r="H32" s="19"/>
      <c r="I32" s="19"/>
      <c r="J32" s="26"/>
    </row>
    <row r="33" spans="1:10" ht="14.25" customHeight="1">
      <c r="A33" s="25"/>
      <c r="B33" s="19"/>
      <c r="C33" s="19"/>
      <c r="D33" s="16" t="s">
        <v>667</v>
      </c>
      <c r="E33" s="16"/>
      <c r="F33" s="20"/>
      <c r="G33" s="19"/>
      <c r="H33" s="19"/>
      <c r="I33" s="19"/>
      <c r="J33" s="26"/>
    </row>
    <row r="34" spans="1:10" ht="14.25" customHeight="1">
      <c r="A34" s="25"/>
      <c r="B34" s="19"/>
      <c r="C34" s="19"/>
      <c r="D34" s="16" t="s">
        <v>668</v>
      </c>
      <c r="E34" s="16"/>
      <c r="F34" s="20"/>
      <c r="G34" s="19"/>
      <c r="H34" s="26"/>
      <c r="I34" s="26"/>
      <c r="J34" s="26"/>
    </row>
    <row r="35" spans="1:10">
      <c r="A35" s="31"/>
      <c r="B35" s="19"/>
      <c r="C35" s="16" t="s">
        <v>120</v>
      </c>
      <c r="D35" s="16" t="s">
        <v>225</v>
      </c>
      <c r="E35" s="16" t="s">
        <v>121</v>
      </c>
      <c r="F35" s="19"/>
      <c r="G35" s="19"/>
      <c r="H35" s="26"/>
      <c r="I35" s="26"/>
      <c r="J35" s="26"/>
    </row>
    <row r="36" spans="1:10">
      <c r="A36" s="31"/>
      <c r="B36" s="19"/>
      <c r="D36" s="16"/>
      <c r="E36" s="16" t="s">
        <v>122</v>
      </c>
      <c r="F36" s="19"/>
      <c r="G36" s="19"/>
      <c r="H36" s="26"/>
      <c r="I36" s="26"/>
      <c r="J36" s="26"/>
    </row>
    <row r="37" spans="1:10">
      <c r="A37" s="31"/>
      <c r="B37" s="19"/>
      <c r="D37" s="16"/>
      <c r="E37" s="16" t="s">
        <v>123</v>
      </c>
      <c r="F37" s="19"/>
      <c r="G37" s="19"/>
      <c r="H37" s="26"/>
      <c r="I37" s="26"/>
      <c r="J37" s="26"/>
    </row>
    <row r="38" spans="1:10">
      <c r="A38" s="31"/>
      <c r="B38" s="19"/>
      <c r="D38" s="16"/>
      <c r="E38" s="16" t="s">
        <v>125</v>
      </c>
      <c r="F38" s="19"/>
      <c r="G38" s="19"/>
      <c r="H38" s="26"/>
      <c r="I38" s="26"/>
      <c r="J38" s="26"/>
    </row>
    <row r="39" spans="1:10">
      <c r="A39" s="31"/>
      <c r="B39" s="19"/>
      <c r="D39" s="16"/>
      <c r="E39" s="16" t="s">
        <v>127</v>
      </c>
      <c r="F39" s="19"/>
      <c r="G39" s="19"/>
      <c r="H39" s="26"/>
      <c r="I39" s="26"/>
      <c r="J39" s="26"/>
    </row>
    <row r="40" spans="1:10">
      <c r="A40" s="31"/>
      <c r="B40" s="19"/>
      <c r="D40" s="16"/>
      <c r="E40" s="16" t="s">
        <v>128</v>
      </c>
      <c r="F40" s="19"/>
      <c r="G40" s="19"/>
      <c r="H40" s="26"/>
      <c r="I40" s="26"/>
      <c r="J40" s="26"/>
    </row>
    <row r="41" spans="1:10">
      <c r="A41" s="31"/>
      <c r="B41" s="19"/>
      <c r="D41" s="16"/>
      <c r="E41" s="16" t="s">
        <v>190</v>
      </c>
      <c r="F41" s="26"/>
      <c r="G41" s="19"/>
      <c r="H41" s="26"/>
      <c r="I41" s="26"/>
      <c r="J41" s="26"/>
    </row>
    <row r="42" spans="1:10">
      <c r="A42" s="31"/>
      <c r="B42" s="19"/>
      <c r="C42" s="19"/>
      <c r="D42" s="16" t="s">
        <v>476</v>
      </c>
      <c r="E42" s="16" t="s">
        <v>567</v>
      </c>
      <c r="G42" s="19"/>
      <c r="H42" s="26"/>
      <c r="I42" s="26"/>
    </row>
    <row r="43" spans="1:10">
      <c r="A43" s="31"/>
      <c r="B43" s="19"/>
      <c r="C43" s="19"/>
      <c r="D43" s="16"/>
      <c r="E43" s="16" t="s">
        <v>568</v>
      </c>
      <c r="G43" s="19"/>
    </row>
    <row r="44" spans="1:10">
      <c r="B44" s="19"/>
      <c r="C44" s="16"/>
      <c r="D44" s="16" t="s">
        <v>103</v>
      </c>
      <c r="E44" s="16"/>
      <c r="F44" s="19"/>
      <c r="G44" s="19"/>
    </row>
    <row r="45" spans="1:10">
      <c r="B45" s="19"/>
      <c r="C45" s="16"/>
      <c r="D45" s="16" t="s">
        <v>104</v>
      </c>
      <c r="E45" s="16"/>
      <c r="F45" s="26"/>
      <c r="G45" s="19"/>
    </row>
    <row r="46" spans="1:10">
      <c r="B46" s="19"/>
      <c r="C46" s="16"/>
      <c r="D46" s="16" t="s">
        <v>441</v>
      </c>
      <c r="E46" s="16"/>
      <c r="F46" s="26"/>
      <c r="G46" s="19"/>
      <c r="J46" s="26"/>
    </row>
    <row r="47" spans="1:10">
      <c r="B47" s="19"/>
      <c r="C47" s="16"/>
      <c r="D47" s="16" t="s">
        <v>442</v>
      </c>
      <c r="E47" s="16"/>
      <c r="F47" s="26"/>
      <c r="G47" s="19"/>
      <c r="H47" s="26"/>
      <c r="I47" s="26"/>
      <c r="J47" s="26"/>
    </row>
    <row r="48" spans="1:10">
      <c r="A48" s="31"/>
      <c r="B48" s="19"/>
      <c r="C48" s="16" t="s">
        <v>191</v>
      </c>
      <c r="D48" s="16" t="s">
        <v>191</v>
      </c>
      <c r="E48" s="16" t="s">
        <v>124</v>
      </c>
      <c r="G48" s="19"/>
      <c r="H48" s="26"/>
      <c r="I48" s="26"/>
    </row>
    <row r="49" spans="1:7">
      <c r="A49" s="31"/>
      <c r="B49" s="19"/>
      <c r="C49" s="16"/>
      <c r="D49" s="16"/>
      <c r="E49" s="16" t="s">
        <v>126</v>
      </c>
      <c r="G49" s="26"/>
    </row>
    <row r="50" spans="1:7">
      <c r="B50" s="19"/>
      <c r="C50" s="16"/>
      <c r="D50" s="16" t="s">
        <v>444</v>
      </c>
      <c r="E50" s="16"/>
      <c r="F50" s="19"/>
      <c r="G50" s="26"/>
    </row>
    <row r="51" spans="1:7">
      <c r="B51" s="19"/>
      <c r="C51" s="16"/>
      <c r="D51" s="16" t="s">
        <v>445</v>
      </c>
      <c r="E51" s="16"/>
      <c r="G51" s="26"/>
    </row>
    <row r="52" spans="1:7">
      <c r="B52" s="26"/>
      <c r="C52" s="16" t="s">
        <v>685</v>
      </c>
      <c r="D52" s="16" t="s">
        <v>129</v>
      </c>
      <c r="E52" s="16"/>
      <c r="G52" s="26"/>
    </row>
    <row r="53" spans="1:7">
      <c r="C53" s="16"/>
      <c r="D53" s="16" t="s">
        <v>446</v>
      </c>
      <c r="E53" s="16"/>
    </row>
    <row r="54" spans="1:7">
      <c r="C54" s="16"/>
      <c r="D54" s="16" t="s">
        <v>447</v>
      </c>
      <c r="E54" s="16"/>
    </row>
  </sheetData>
  <sheetProtection password="EF09" sheet="1" objects="1" scenarios="1"/>
  <mergeCells count="1">
    <mergeCell ref="B3:C3"/>
  </mergeCells>
  <phoneticPr fontId="6" type="noConversion"/>
  <hyperlinks>
    <hyperlink ref="B2" location="封面!A1" display="封面!A1"/>
    <hyperlink ref="D4" location="汇总表!A1" display="汇总表"/>
    <hyperlink ref="E4" location="分类汇总!A1" display="分类汇总表"/>
    <hyperlink ref="C6" location="流动汇总!A1" display="流动资产"/>
    <hyperlink ref="E6" location="现金!A1" display="现金"/>
    <hyperlink ref="E7" location="银行存款!A1" display="银行存款"/>
    <hyperlink ref="E8" location="其他货币资金!A1" display="其他货币资金"/>
    <hyperlink ref="D9" location="交易性金融资产汇总!A1" display="返回索引页"/>
    <hyperlink ref="E9" location="'交易性-股票'!A1" display="返回索引页"/>
    <hyperlink ref="E10" location="'交易性-债券'!A1" display="返回索引页"/>
    <hyperlink ref="D12" location="应收票据!A1" display="应收票据"/>
    <hyperlink ref="D13" location="应收账款!A1" display="应收账款"/>
    <hyperlink ref="D18" location="存货汇总!A1" display="存货"/>
    <hyperlink ref="E19" location="原材料!A1" display="原材料"/>
    <hyperlink ref="E18" location="'材料采购（在途物资）'!A1" display="材料采购（在途物资）"/>
    <hyperlink ref="E22" location="'产成品（库存商品）'!A1" display="产成品（库存商品）"/>
    <hyperlink ref="E23" location="'在产品（自制半成品）'!A1" display="在产品（自制半成品）"/>
    <hyperlink ref="C28" location="长期投资汇总!A1" display="长期投资"/>
    <hyperlink ref="C35" location="固定资产汇总!A1" display="固定资产"/>
    <hyperlink ref="E35" location="房屋建筑物!A1" display="房屋建筑物"/>
    <hyperlink ref="E36" location="构筑物!A1" display="构筑物及其他辅助设施"/>
    <hyperlink ref="E37" location="管道沟槽!A1" display="管道及沟槽"/>
    <hyperlink ref="E38" location="机器设备!A1" display="机器设备"/>
    <hyperlink ref="E39" location="车辆!A1" display="车辆"/>
    <hyperlink ref="E40" location="电子设备!A1" display="电子设备"/>
    <hyperlink ref="D44" location="工程物资!A1" display="工程物资"/>
    <hyperlink ref="E42" location="'在建（土建）'!A1" display="在建工程(土建)"/>
    <hyperlink ref="E43" location="'在建（设备）'!A1" display="在建工程(设备安装)"/>
    <hyperlink ref="D45" location="固定资产清理!A1" display="固定资产清理"/>
    <hyperlink ref="G6" location="流动负债汇总!A1" display="流动负债"/>
    <hyperlink ref="I6" location="短期借款!A1" display="短期借款"/>
    <hyperlink ref="I8" location="应付票据!A1" display="应付票据"/>
    <hyperlink ref="I9" location="应付账款!A1" display="应付账款"/>
    <hyperlink ref="I10" location="预收账款!A1" display="预收账款"/>
    <hyperlink ref="I15" location="其他应付款!A1" display="其它应付款"/>
    <hyperlink ref="I11" location="职工薪酬!A1" display="返回索引页"/>
    <hyperlink ref="I12" location="应交税费!A1" display="返回索引页"/>
    <hyperlink ref="I17" location="其他流动负债!A1" display="返回索引页"/>
    <hyperlink ref="G20" location="'非流动负债汇总 '!A1" display="返回索引页"/>
    <hyperlink ref="I20" location="长期借款!A1" display="长期借款"/>
    <hyperlink ref="I22" location="长期应付款!A1" display="长期应付款"/>
    <hyperlink ref="I26" location="其他非流动负债!A1" display="返回索引页"/>
    <hyperlink ref="I25" location="递延所得税负债!A1" display="返回索引页"/>
    <hyperlink ref="B3" location="填表说明!A1" display="填表说明!A1"/>
    <hyperlink ref="C4" location="资产负债表!A1" display="资产负债表"/>
    <hyperlink ref="I21" location="应付债券!A1" display="应付债券清查评估明细表"/>
    <hyperlink ref="I23" location="专项应付款!A1" display="专项应付款"/>
    <hyperlink ref="B4" location="基本情况!A1" display="基本情况!A1"/>
    <hyperlink ref="D6" location="流动汇总!B6" display="货币资金（现金"/>
    <hyperlink ref="E24" location="发出商品!A1" display="返回索引页"/>
    <hyperlink ref="B3:C3" location="填表说明!B2" display="填表说明!B2"/>
    <hyperlink ref="E41" location="土地!A1" display="返回索引页"/>
    <hyperlink ref="E28" location="'可出售-股票'!A1" display="返回索引页"/>
    <hyperlink ref="E29" location="'可出售-债券'!A1" display="返回索引页"/>
    <hyperlink ref="D16" location="'应收股利（利润）'!A1" display="应收股利"/>
    <hyperlink ref="D15" location="应收利息!A1" display="应收股息"/>
    <hyperlink ref="D17" location="其他应收款!A1" display="其他应收款"/>
    <hyperlink ref="D14" location="预付账款!A1" display="预付账款"/>
    <hyperlink ref="D32" location="长期应收!A1" display="返回索引页"/>
    <hyperlink ref="D33" location="股权投资!A1" display="返回索引页"/>
    <hyperlink ref="D34" location="投资性房地产!A1" display="返回索引页"/>
    <hyperlink ref="D52" location="长期待摊费用!A1" display="长期待摊费用"/>
    <hyperlink ref="E48" location="'在建（土建）'!A1" display="在建工程(土建)"/>
    <hyperlink ref="E49" location="'在建（设备）'!A1" display="在建工程(设备安装)"/>
    <hyperlink ref="I24" location="预计负债!A1" display="返回索引页"/>
    <hyperlink ref="E11" location="'交易性-基金'!A1" display="返回索引页"/>
    <hyperlink ref="E20" location="在库周转材料!A1" display="返回索引页"/>
    <hyperlink ref="E21" location="委托加工物资!A1" display="返回索引页"/>
    <hyperlink ref="E25" location="在用周转材料!A1" display="返回索引页"/>
    <hyperlink ref="D26" location="一年到期非流动资产!A1" display="返回索引页"/>
    <hyperlink ref="D27" location="其他流动资产!A1" display="返回索引页"/>
    <hyperlink ref="D28" location="可供出售金融资产汇总!A1" display="返回索引页"/>
    <hyperlink ref="E30" location="'可出售-其他'!A1" display="返回索引页"/>
    <hyperlink ref="D31" location="持有到期投资!A1" display="返回索引页"/>
    <hyperlink ref="D35" location="固定资产汇总!B18" display="固定资产"/>
    <hyperlink ref="D42" location="固定资产汇总!B20" display="在建工程"/>
    <hyperlink ref="D46" location="生产性生物资产!A1" display="返回索引页"/>
    <hyperlink ref="D47" location="油气资产!A1" display="返回索引页"/>
    <hyperlink ref="C48" location="无形资产汇总!A1" display="返回索引页"/>
    <hyperlink ref="D48" location="无形资产汇总!B10" display="无形资产净额"/>
    <hyperlink ref="D50" location="开发支出!A1" display="返回索引页"/>
    <hyperlink ref="D51" location="商誉!A1" display="返回索引页"/>
    <hyperlink ref="D53" location="递延所得税资产!A1" display="返回索引页"/>
    <hyperlink ref="C52" location="汇总表!A16" display="汇总表!A16"/>
    <hyperlink ref="D54" location="其他非流动资产!A1" display="返回索引页"/>
    <hyperlink ref="I7" location="交易性金融负债!A1" display="返回索引页"/>
    <hyperlink ref="I13" location="应付利息!A1" display="返回索引页"/>
    <hyperlink ref="I14" location="'应付股利（利润）'!A1" display="返回索引页"/>
    <hyperlink ref="I16" location="一年到期非流动负债!A1" display="返回索引页"/>
  </hyperlinks>
  <pageMargins left="0.74803149606299213" right="0.74803149606299213" top="0.78740157480314965" bottom="0.19685039370078741" header="0" footer="0"/>
  <pageSetup paperSize="9" scale="71" orientation="portrait" r:id="rId1"/>
  <headerFooter alignWithMargins="0"/>
  <drawing r:id="rId2"/>
  <legacyDrawingHF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pageSetUpPr fitToPage="1"/>
  </sheetPr>
  <dimension ref="A1:L29"/>
  <sheetViews>
    <sheetView workbookViewId="0">
      <selection activeCell="H10" sqref="H10"/>
    </sheetView>
  </sheetViews>
  <sheetFormatPr defaultRowHeight="15.75" customHeight="1" outlineLevelCol="1"/>
  <cols>
    <col min="1" max="1" width="5" style="4" customWidth="1"/>
    <col min="2" max="2" width="22.125" style="4" customWidth="1"/>
    <col min="3" max="3" width="11.125" style="4" customWidth="1"/>
    <col min="4" max="4" width="11" style="4" customWidth="1"/>
    <col min="5" max="5" width="13.625" style="4" customWidth="1"/>
    <col min="6" max="6" width="9" style="4"/>
    <col min="7" max="7" width="14" style="4" customWidth="1" outlineLevel="1"/>
    <col min="8" max="8" width="12.375" style="4" customWidth="1" outlineLevel="1"/>
    <col min="9" max="10" width="14" style="4" customWidth="1"/>
    <col min="11" max="11" width="12.625" style="4" customWidth="1"/>
    <col min="12" max="16384" width="9" style="4"/>
  </cols>
  <sheetData>
    <row r="1" spans="1:12" ht="14.25">
      <c r="A1" s="272" t="s">
        <v>130</v>
      </c>
      <c r="B1" s="196" t="s">
        <v>132</v>
      </c>
      <c r="C1" s="1"/>
      <c r="D1" s="1"/>
      <c r="E1" s="1"/>
      <c r="F1" s="1"/>
      <c r="G1" s="1"/>
      <c r="H1" s="1"/>
      <c r="I1" s="1"/>
      <c r="J1" s="1"/>
      <c r="K1" s="1"/>
      <c r="L1" s="1"/>
    </row>
    <row r="2" spans="1:12" s="114" customFormat="1" ht="30" customHeight="1">
      <c r="A2" s="790" t="s">
        <v>905</v>
      </c>
      <c r="B2" s="791"/>
      <c r="C2" s="791"/>
      <c r="D2" s="791"/>
      <c r="E2" s="791"/>
      <c r="F2" s="791"/>
      <c r="G2" s="791"/>
      <c r="H2" s="791"/>
      <c r="I2" s="791"/>
      <c r="J2" s="791"/>
      <c r="K2" s="791"/>
      <c r="L2" s="791"/>
    </row>
    <row r="3" spans="1:12" ht="14.1" customHeight="1">
      <c r="A3" s="792" t="e">
        <f>CONCATENATE(#REF!,#REF!,#REF!,#REF!,#REF!,#REF!,#REF!)</f>
        <v>#REF!</v>
      </c>
      <c r="B3" s="792"/>
      <c r="C3" s="792"/>
      <c r="D3" s="792"/>
      <c r="E3" s="792"/>
      <c r="F3" s="792"/>
      <c r="G3" s="792"/>
      <c r="H3" s="792"/>
      <c r="I3" s="808"/>
      <c r="J3" s="808"/>
      <c r="K3" s="808"/>
      <c r="L3" s="808"/>
    </row>
    <row r="4" spans="1:12" ht="15.75" customHeight="1">
      <c r="A4" s="115" t="e">
        <f>#REF!&amp;#REF!</f>
        <v>#REF!</v>
      </c>
      <c r="L4" s="106" t="s">
        <v>3</v>
      </c>
    </row>
    <row r="5" spans="1:12" s="1" customFormat="1" ht="15.75" customHeight="1">
      <c r="A5" s="2" t="s">
        <v>4</v>
      </c>
      <c r="B5" s="2" t="s">
        <v>51</v>
      </c>
      <c r="C5" s="2" t="s">
        <v>53</v>
      </c>
      <c r="D5" s="2" t="s">
        <v>305</v>
      </c>
      <c r="E5" s="2" t="s">
        <v>306</v>
      </c>
      <c r="F5" s="2" t="s">
        <v>307</v>
      </c>
      <c r="G5" s="2" t="s">
        <v>426</v>
      </c>
      <c r="H5" s="2" t="s">
        <v>710</v>
      </c>
      <c r="I5" s="2" t="s">
        <v>315</v>
      </c>
      <c r="J5" s="2" t="s">
        <v>0</v>
      </c>
      <c r="K5" s="2" t="s">
        <v>20</v>
      </c>
      <c r="L5" s="2" t="s">
        <v>72</v>
      </c>
    </row>
    <row r="6" spans="1:12" ht="15.75" customHeight="1">
      <c r="A6" s="105"/>
      <c r="B6" s="128"/>
      <c r="C6" s="121"/>
      <c r="D6" s="142"/>
      <c r="E6" s="105"/>
      <c r="F6" s="105"/>
      <c r="G6" s="142"/>
      <c r="H6" s="142"/>
      <c r="I6" s="142"/>
      <c r="J6" s="142"/>
      <c r="K6" s="142" t="str">
        <f>IF(I6=0,"",(J6-I6)/I6*100)</f>
        <v/>
      </c>
      <c r="L6" s="120"/>
    </row>
    <row r="7" spans="1:12" ht="15.75" customHeight="1">
      <c r="A7" s="105"/>
      <c r="B7" s="128"/>
      <c r="C7" s="121"/>
      <c r="D7" s="142"/>
      <c r="E7" s="105"/>
      <c r="F7" s="105"/>
      <c r="G7" s="142"/>
      <c r="H7" s="142"/>
      <c r="I7" s="142"/>
      <c r="J7" s="142"/>
      <c r="K7" s="142" t="str">
        <f t="shared" ref="K7:K27" si="0">IF(I7=0,"",(J7-I7)/I7*100)</f>
        <v/>
      </c>
      <c r="L7" s="120"/>
    </row>
    <row r="8" spans="1:12" ht="15.75" customHeight="1">
      <c r="A8" s="105"/>
      <c r="B8" s="128"/>
      <c r="C8" s="121"/>
      <c r="D8" s="142"/>
      <c r="E8" s="105"/>
      <c r="F8" s="105"/>
      <c r="G8" s="142"/>
      <c r="H8" s="142"/>
      <c r="I8" s="142"/>
      <c r="J8" s="142"/>
      <c r="K8" s="142" t="str">
        <f t="shared" si="0"/>
        <v/>
      </c>
      <c r="L8" s="120"/>
    </row>
    <row r="9" spans="1:12" ht="15.75" customHeight="1">
      <c r="A9" s="105"/>
      <c r="B9" s="128"/>
      <c r="C9" s="121"/>
      <c r="D9" s="142"/>
      <c r="E9" s="105"/>
      <c r="F9" s="105"/>
      <c r="G9" s="142"/>
      <c r="H9" s="142"/>
      <c r="I9" s="142"/>
      <c r="J9" s="142"/>
      <c r="K9" s="142" t="str">
        <f t="shared" si="0"/>
        <v/>
      </c>
      <c r="L9" s="120"/>
    </row>
    <row r="10" spans="1:12" ht="15.75" customHeight="1">
      <c r="A10" s="105"/>
      <c r="B10" s="128"/>
      <c r="C10" s="121"/>
      <c r="D10" s="142"/>
      <c r="E10" s="105"/>
      <c r="F10" s="105"/>
      <c r="G10" s="142"/>
      <c r="H10" s="142"/>
      <c r="I10" s="142"/>
      <c r="J10" s="142"/>
      <c r="K10" s="142" t="str">
        <f t="shared" si="0"/>
        <v/>
      </c>
      <c r="L10" s="120"/>
    </row>
    <row r="11" spans="1:12" ht="15.75" customHeight="1">
      <c r="A11" s="105"/>
      <c r="B11" s="128"/>
      <c r="C11" s="121"/>
      <c r="D11" s="142"/>
      <c r="E11" s="105"/>
      <c r="F11" s="105"/>
      <c r="G11" s="142"/>
      <c r="H11" s="142"/>
      <c r="I11" s="142"/>
      <c r="J11" s="142"/>
      <c r="K11" s="142" t="str">
        <f t="shared" si="0"/>
        <v/>
      </c>
      <c r="L11" s="120"/>
    </row>
    <row r="12" spans="1:12" ht="15.75" customHeight="1">
      <c r="A12" s="105"/>
      <c r="B12" s="128"/>
      <c r="C12" s="121"/>
      <c r="D12" s="142"/>
      <c r="E12" s="105"/>
      <c r="F12" s="105"/>
      <c r="G12" s="142"/>
      <c r="H12" s="142"/>
      <c r="I12" s="142"/>
      <c r="J12" s="142"/>
      <c r="K12" s="142" t="str">
        <f t="shared" si="0"/>
        <v/>
      </c>
      <c r="L12" s="120"/>
    </row>
    <row r="13" spans="1:12" ht="15.75" customHeight="1">
      <c r="A13" s="105"/>
      <c r="B13" s="128"/>
      <c r="C13" s="121"/>
      <c r="D13" s="142"/>
      <c r="E13" s="105"/>
      <c r="F13" s="105"/>
      <c r="G13" s="142"/>
      <c r="H13" s="142"/>
      <c r="I13" s="142"/>
      <c r="J13" s="142"/>
      <c r="K13" s="142" t="str">
        <f t="shared" si="0"/>
        <v/>
      </c>
      <c r="L13" s="120"/>
    </row>
    <row r="14" spans="1:12" ht="15.75" customHeight="1">
      <c r="A14" s="105"/>
      <c r="B14" s="128"/>
      <c r="C14" s="121"/>
      <c r="D14" s="142"/>
      <c r="E14" s="105"/>
      <c r="F14" s="105"/>
      <c r="G14" s="142"/>
      <c r="H14" s="142"/>
      <c r="I14" s="142"/>
      <c r="J14" s="142"/>
      <c r="K14" s="142" t="str">
        <f t="shared" si="0"/>
        <v/>
      </c>
      <c r="L14" s="120"/>
    </row>
    <row r="15" spans="1:12" ht="15.75" customHeight="1">
      <c r="A15" s="105"/>
      <c r="B15" s="128"/>
      <c r="C15" s="121"/>
      <c r="D15" s="142"/>
      <c r="E15" s="105"/>
      <c r="F15" s="105"/>
      <c r="G15" s="142"/>
      <c r="H15" s="142"/>
      <c r="I15" s="142"/>
      <c r="J15" s="142"/>
      <c r="K15" s="142" t="str">
        <f t="shared" si="0"/>
        <v/>
      </c>
      <c r="L15" s="120"/>
    </row>
    <row r="16" spans="1:12" ht="15.75" customHeight="1">
      <c r="A16" s="105"/>
      <c r="B16" s="128"/>
      <c r="C16" s="121"/>
      <c r="D16" s="142"/>
      <c r="E16" s="105"/>
      <c r="F16" s="105"/>
      <c r="G16" s="142"/>
      <c r="H16" s="142"/>
      <c r="I16" s="142"/>
      <c r="J16" s="142"/>
      <c r="K16" s="142" t="str">
        <f t="shared" si="0"/>
        <v/>
      </c>
      <c r="L16" s="120"/>
    </row>
    <row r="17" spans="1:12" ht="15.75" customHeight="1">
      <c r="A17" s="105"/>
      <c r="B17" s="128"/>
      <c r="C17" s="121"/>
      <c r="D17" s="142"/>
      <c r="E17" s="105"/>
      <c r="F17" s="105"/>
      <c r="G17" s="142"/>
      <c r="H17" s="142"/>
      <c r="I17" s="142"/>
      <c r="J17" s="142"/>
      <c r="K17" s="142" t="str">
        <f t="shared" si="0"/>
        <v/>
      </c>
      <c r="L17" s="120"/>
    </row>
    <row r="18" spans="1:12" ht="15.75" customHeight="1">
      <c r="A18" s="105"/>
      <c r="B18" s="128"/>
      <c r="C18" s="121"/>
      <c r="D18" s="142"/>
      <c r="E18" s="105"/>
      <c r="F18" s="105"/>
      <c r="G18" s="142"/>
      <c r="H18" s="142"/>
      <c r="I18" s="142"/>
      <c r="J18" s="142"/>
      <c r="K18" s="142" t="str">
        <f t="shared" si="0"/>
        <v/>
      </c>
      <c r="L18" s="120"/>
    </row>
    <row r="19" spans="1:12" ht="15.75" customHeight="1">
      <c r="A19" s="105"/>
      <c r="B19" s="128"/>
      <c r="C19" s="121"/>
      <c r="D19" s="142"/>
      <c r="E19" s="105"/>
      <c r="F19" s="105"/>
      <c r="G19" s="142"/>
      <c r="H19" s="142"/>
      <c r="I19" s="142"/>
      <c r="J19" s="142"/>
      <c r="K19" s="142" t="str">
        <f t="shared" si="0"/>
        <v/>
      </c>
      <c r="L19" s="120"/>
    </row>
    <row r="20" spans="1:12" ht="15.75" customHeight="1">
      <c r="A20" s="105"/>
      <c r="B20" s="128"/>
      <c r="C20" s="121"/>
      <c r="D20" s="142"/>
      <c r="E20" s="105"/>
      <c r="F20" s="105"/>
      <c r="G20" s="142"/>
      <c r="H20" s="142"/>
      <c r="I20" s="142"/>
      <c r="J20" s="142"/>
      <c r="K20" s="142" t="str">
        <f t="shared" si="0"/>
        <v/>
      </c>
      <c r="L20" s="120"/>
    </row>
    <row r="21" spans="1:12" ht="15.75" customHeight="1">
      <c r="A21" s="105"/>
      <c r="B21" s="128"/>
      <c r="C21" s="121"/>
      <c r="D21" s="142"/>
      <c r="E21" s="105"/>
      <c r="F21" s="105"/>
      <c r="G21" s="142"/>
      <c r="H21" s="142"/>
      <c r="I21" s="142"/>
      <c r="J21" s="142"/>
      <c r="K21" s="142" t="str">
        <f t="shared" si="0"/>
        <v/>
      </c>
      <c r="L21" s="120"/>
    </row>
    <row r="22" spans="1:12" ht="15.75" customHeight="1">
      <c r="A22" s="105"/>
      <c r="B22" s="128"/>
      <c r="C22" s="121"/>
      <c r="D22" s="142"/>
      <c r="E22" s="105"/>
      <c r="F22" s="105"/>
      <c r="G22" s="142"/>
      <c r="H22" s="142"/>
      <c r="I22" s="142"/>
      <c r="J22" s="142"/>
      <c r="K22" s="142" t="str">
        <f t="shared" si="0"/>
        <v/>
      </c>
      <c r="L22" s="120"/>
    </row>
    <row r="23" spans="1:12" ht="15.75" customHeight="1">
      <c r="A23" s="105"/>
      <c r="B23" s="128"/>
      <c r="C23" s="121"/>
      <c r="D23" s="142"/>
      <c r="E23" s="105"/>
      <c r="F23" s="105"/>
      <c r="G23" s="142"/>
      <c r="H23" s="142"/>
      <c r="I23" s="142"/>
      <c r="J23" s="142"/>
      <c r="K23" s="142" t="str">
        <f t="shared" si="0"/>
        <v/>
      </c>
      <c r="L23" s="120"/>
    </row>
    <row r="24" spans="1:12" ht="15.75" customHeight="1">
      <c r="A24" s="105"/>
      <c r="B24" s="128"/>
      <c r="C24" s="121"/>
      <c r="D24" s="142"/>
      <c r="E24" s="105"/>
      <c r="F24" s="105"/>
      <c r="G24" s="142"/>
      <c r="H24" s="142"/>
      <c r="I24" s="142"/>
      <c r="J24" s="142"/>
      <c r="K24" s="142" t="str">
        <f t="shared" si="0"/>
        <v/>
      </c>
      <c r="L24" s="120"/>
    </row>
    <row r="25" spans="1:12" ht="15.75" customHeight="1">
      <c r="A25" s="105"/>
      <c r="B25" s="128"/>
      <c r="C25" s="121"/>
      <c r="D25" s="142"/>
      <c r="E25" s="105"/>
      <c r="F25" s="105"/>
      <c r="G25" s="142"/>
      <c r="H25" s="142"/>
      <c r="I25" s="142"/>
      <c r="J25" s="142"/>
      <c r="K25" s="142" t="str">
        <f t="shared" si="0"/>
        <v/>
      </c>
      <c r="L25" s="120"/>
    </row>
    <row r="26" spans="1:12" ht="15.75" customHeight="1">
      <c r="A26" s="105"/>
      <c r="B26" s="128"/>
      <c r="C26" s="121"/>
      <c r="D26" s="142"/>
      <c r="E26" s="105"/>
      <c r="F26" s="105"/>
      <c r="G26" s="142"/>
      <c r="H26" s="142"/>
      <c r="I26" s="142"/>
      <c r="J26" s="142"/>
      <c r="K26" s="142"/>
      <c r="L26" s="120"/>
    </row>
    <row r="27" spans="1:12" ht="15.75" customHeight="1">
      <c r="A27" s="809" t="s">
        <v>54</v>
      </c>
      <c r="B27" s="810"/>
      <c r="C27" s="120"/>
      <c r="D27" s="142">
        <f>SUM(D6:D26)</f>
        <v>0</v>
      </c>
      <c r="E27" s="120"/>
      <c r="F27" s="120"/>
      <c r="G27" s="142">
        <f>SUM(G6:G26)</f>
        <v>0</v>
      </c>
      <c r="H27" s="142"/>
      <c r="I27" s="142">
        <f>SUM(I6:I26)</f>
        <v>0</v>
      </c>
      <c r="J27" s="142">
        <f>SUM(J6:J26)</f>
        <v>0</v>
      </c>
      <c r="K27" s="142" t="str">
        <f t="shared" si="0"/>
        <v/>
      </c>
      <c r="L27" s="120"/>
    </row>
    <row r="28" spans="1:12" ht="15.75" customHeight="1">
      <c r="A28" s="101" t="e">
        <f>#REF!&amp;#REF!</f>
        <v>#REF!</v>
      </c>
      <c r="I28" s="115" t="e">
        <f>"评估人员："&amp;#REF!</f>
        <v>#REF!</v>
      </c>
    </row>
    <row r="29" spans="1:12" ht="15.75" customHeight="1">
      <c r="A29" s="101" t="e">
        <f>CONCATENATE(#REF!,#REF!,#REF!,#REF!,#REF!,#REF!,#REF!)</f>
        <v>#REF!</v>
      </c>
    </row>
  </sheetData>
  <mergeCells count="3">
    <mergeCell ref="A2:L2"/>
    <mergeCell ref="A3:L3"/>
    <mergeCell ref="A27:B27"/>
  </mergeCells>
  <phoneticPr fontId="6" type="noConversion"/>
  <hyperlinks>
    <hyperlink ref="A1" location="索引目录!D15" display="应收利息"/>
    <hyperlink ref="B1" location="流动汇总!B11" display="应收利息"/>
  </hyperlinks>
  <printOptions horizontalCentered="1"/>
  <pageMargins left="0.35433070866141736" right="0.35433070866141736" top="0.78740157480314965" bottom="0.78740157480314965" header="1.05" footer="0.51181102362204722"/>
  <pageSetup paperSize="9" scale="89" fitToHeight="0" orientation="landscape" horizontalDpi="4294967292" r:id="rId1"/>
  <headerFooter alignWithMargins="0">
    <oddHeader>&amp;R&amp;"宋体,常规"&amp;10表&amp;"Times New Roman,常规"3-6
&amp;"宋体,常规"共&amp;"Times New Roman,常规"&amp;N&amp;"宋体,常规"页第&amp;"Times New Roman,常规"&amp;P&amp;"宋体,常规"页</oddHead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pageSetUpPr fitToPage="1"/>
  </sheetPr>
  <dimension ref="A1:J29"/>
  <sheetViews>
    <sheetView workbookViewId="0">
      <selection activeCell="H10" sqref="H10"/>
    </sheetView>
  </sheetViews>
  <sheetFormatPr defaultRowHeight="15.75" customHeight="1" outlineLevelCol="1"/>
  <cols>
    <col min="1" max="1" width="5.5" style="4" customWidth="1"/>
    <col min="2" max="2" width="20" style="4" customWidth="1"/>
    <col min="3" max="3" width="11.75" style="4" customWidth="1"/>
    <col min="4" max="4" width="14.5" style="4" customWidth="1"/>
    <col min="5" max="5" width="15.875" style="4" customWidth="1" outlineLevel="1"/>
    <col min="6" max="6" width="8.625" style="4" customWidth="1" outlineLevel="1"/>
    <col min="7" max="7" width="19.25" style="4" customWidth="1"/>
    <col min="8" max="8" width="17.875" style="4" customWidth="1"/>
    <col min="9" max="9" width="15.625" style="4" customWidth="1"/>
    <col min="10" max="10" width="17.5" style="4" customWidth="1"/>
    <col min="11" max="16384" width="9" style="4"/>
  </cols>
  <sheetData>
    <row r="1" spans="1:10" ht="14.25">
      <c r="A1" s="272" t="s">
        <v>130</v>
      </c>
      <c r="B1" s="196" t="s">
        <v>132</v>
      </c>
      <c r="C1" s="1"/>
      <c r="D1" s="1"/>
      <c r="E1" s="1"/>
      <c r="F1" s="1"/>
      <c r="G1" s="1"/>
      <c r="H1" s="1"/>
      <c r="I1" s="1"/>
      <c r="J1" s="1"/>
    </row>
    <row r="2" spans="1:10" s="114" customFormat="1" ht="30" customHeight="1">
      <c r="A2" s="790" t="s">
        <v>904</v>
      </c>
      <c r="B2" s="791"/>
      <c r="C2" s="791"/>
      <c r="D2" s="791"/>
      <c r="E2" s="791"/>
      <c r="F2" s="791"/>
      <c r="G2" s="791"/>
      <c r="H2" s="791"/>
      <c r="I2" s="791"/>
      <c r="J2" s="791"/>
    </row>
    <row r="3" spans="1:10" ht="14.1" customHeight="1">
      <c r="A3" s="792" t="e">
        <f>CONCATENATE(#REF!,#REF!,#REF!,#REF!,#REF!,#REF!,#REF!)</f>
        <v>#REF!</v>
      </c>
      <c r="B3" s="792"/>
      <c r="C3" s="792"/>
      <c r="D3" s="792"/>
      <c r="E3" s="792"/>
      <c r="F3" s="792"/>
      <c r="G3" s="792"/>
      <c r="H3" s="792"/>
      <c r="I3" s="808"/>
      <c r="J3" s="808"/>
    </row>
    <row r="4" spans="1:10" ht="15.75" customHeight="1">
      <c r="A4" s="115" t="e">
        <f>#REF!&amp;#REF!</f>
        <v>#REF!</v>
      </c>
      <c r="J4" s="106" t="s">
        <v>3</v>
      </c>
    </row>
    <row r="5" spans="1:10" s="1" customFormat="1" ht="15.75" customHeight="1">
      <c r="A5" s="2" t="s">
        <v>4</v>
      </c>
      <c r="B5" s="2" t="s">
        <v>226</v>
      </c>
      <c r="C5" s="2" t="s">
        <v>53</v>
      </c>
      <c r="D5" s="2" t="s">
        <v>308</v>
      </c>
      <c r="E5" s="319" t="s">
        <v>426</v>
      </c>
      <c r="F5" s="319" t="s">
        <v>710</v>
      </c>
      <c r="G5" s="2" t="s">
        <v>315</v>
      </c>
      <c r="H5" s="2" t="s">
        <v>0</v>
      </c>
      <c r="I5" s="2" t="s">
        <v>20</v>
      </c>
      <c r="J5" s="2" t="s">
        <v>72</v>
      </c>
    </row>
    <row r="6" spans="1:10" ht="15.75" customHeight="1">
      <c r="A6" s="105"/>
      <c r="B6" s="128"/>
      <c r="C6" s="121"/>
      <c r="D6" s="120"/>
      <c r="E6" s="144"/>
      <c r="F6" s="144"/>
      <c r="G6" s="142"/>
      <c r="H6" s="142"/>
      <c r="I6" s="142" t="str">
        <f>IF(G6=0,"",(H6-G6)/G6*100)</f>
        <v/>
      </c>
      <c r="J6" s="120"/>
    </row>
    <row r="7" spans="1:10" ht="15.75" customHeight="1">
      <c r="A7" s="105"/>
      <c r="B7" s="128"/>
      <c r="C7" s="121"/>
      <c r="D7" s="120"/>
      <c r="E7" s="144"/>
      <c r="F7" s="144"/>
      <c r="G7" s="142"/>
      <c r="H7" s="142"/>
      <c r="I7" s="142" t="str">
        <f t="shared" ref="I7:I27" si="0">IF(G7=0,"",(H7-G7)/G7*100)</f>
        <v/>
      </c>
      <c r="J7" s="120"/>
    </row>
    <row r="8" spans="1:10" ht="15.75" customHeight="1">
      <c r="A8" s="105"/>
      <c r="B8" s="128"/>
      <c r="C8" s="121"/>
      <c r="D8" s="120"/>
      <c r="E8" s="144"/>
      <c r="F8" s="144"/>
      <c r="G8" s="142"/>
      <c r="H8" s="142"/>
      <c r="I8" s="142" t="str">
        <f t="shared" si="0"/>
        <v/>
      </c>
      <c r="J8" s="120"/>
    </row>
    <row r="9" spans="1:10" ht="15.75" customHeight="1">
      <c r="A9" s="105"/>
      <c r="B9" s="128"/>
      <c r="C9" s="121"/>
      <c r="D9" s="120"/>
      <c r="E9" s="144"/>
      <c r="F9" s="144"/>
      <c r="G9" s="142"/>
      <c r="H9" s="142"/>
      <c r="I9" s="142" t="str">
        <f t="shared" si="0"/>
        <v/>
      </c>
      <c r="J9" s="120"/>
    </row>
    <row r="10" spans="1:10" ht="15.75" customHeight="1">
      <c r="A10" s="105"/>
      <c r="B10" s="128"/>
      <c r="C10" s="121"/>
      <c r="D10" s="120"/>
      <c r="E10" s="144"/>
      <c r="F10" s="144"/>
      <c r="G10" s="142"/>
      <c r="H10" s="142"/>
      <c r="I10" s="142" t="str">
        <f t="shared" si="0"/>
        <v/>
      </c>
      <c r="J10" s="120"/>
    </row>
    <row r="11" spans="1:10" ht="15.75" customHeight="1">
      <c r="A11" s="105"/>
      <c r="B11" s="128"/>
      <c r="C11" s="121"/>
      <c r="D11" s="120"/>
      <c r="E11" s="144"/>
      <c r="F11" s="144"/>
      <c r="G11" s="142"/>
      <c r="H11" s="142"/>
      <c r="I11" s="142" t="str">
        <f t="shared" si="0"/>
        <v/>
      </c>
      <c r="J11" s="120"/>
    </row>
    <row r="12" spans="1:10" ht="15.75" customHeight="1">
      <c r="A12" s="105"/>
      <c r="B12" s="128"/>
      <c r="C12" s="121"/>
      <c r="D12" s="120"/>
      <c r="E12" s="144"/>
      <c r="F12" s="144"/>
      <c r="G12" s="142"/>
      <c r="H12" s="142"/>
      <c r="I12" s="142" t="str">
        <f t="shared" si="0"/>
        <v/>
      </c>
      <c r="J12" s="120"/>
    </row>
    <row r="13" spans="1:10" ht="15.75" customHeight="1">
      <c r="A13" s="105"/>
      <c r="B13" s="128"/>
      <c r="C13" s="121"/>
      <c r="D13" s="120"/>
      <c r="E13" s="144"/>
      <c r="F13" s="144"/>
      <c r="G13" s="142"/>
      <c r="H13" s="142"/>
      <c r="I13" s="142" t="str">
        <f t="shared" si="0"/>
        <v/>
      </c>
      <c r="J13" s="120"/>
    </row>
    <row r="14" spans="1:10" ht="15.75" customHeight="1">
      <c r="A14" s="105"/>
      <c r="B14" s="128"/>
      <c r="C14" s="121"/>
      <c r="D14" s="120"/>
      <c r="E14" s="144"/>
      <c r="F14" s="144"/>
      <c r="G14" s="142"/>
      <c r="H14" s="142"/>
      <c r="I14" s="142" t="str">
        <f t="shared" si="0"/>
        <v/>
      </c>
      <c r="J14" s="120"/>
    </row>
    <row r="15" spans="1:10" ht="15.75" customHeight="1">
      <c r="A15" s="105"/>
      <c r="B15" s="128"/>
      <c r="C15" s="121"/>
      <c r="D15" s="120"/>
      <c r="E15" s="144"/>
      <c r="F15" s="144"/>
      <c r="G15" s="142"/>
      <c r="H15" s="142"/>
      <c r="I15" s="142" t="str">
        <f t="shared" si="0"/>
        <v/>
      </c>
      <c r="J15" s="120"/>
    </row>
    <row r="16" spans="1:10" ht="15.75" customHeight="1">
      <c r="A16" s="105"/>
      <c r="B16" s="128"/>
      <c r="C16" s="121"/>
      <c r="D16" s="120"/>
      <c r="E16" s="144"/>
      <c r="F16" s="144"/>
      <c r="G16" s="142"/>
      <c r="H16" s="142"/>
      <c r="I16" s="142" t="str">
        <f t="shared" si="0"/>
        <v/>
      </c>
      <c r="J16" s="120"/>
    </row>
    <row r="17" spans="1:10" ht="15.75" customHeight="1">
      <c r="A17" s="105"/>
      <c r="B17" s="128"/>
      <c r="C17" s="121"/>
      <c r="D17" s="120"/>
      <c r="E17" s="144"/>
      <c r="F17" s="144"/>
      <c r="G17" s="142"/>
      <c r="H17" s="142"/>
      <c r="I17" s="142" t="str">
        <f t="shared" si="0"/>
        <v/>
      </c>
      <c r="J17" s="120"/>
    </row>
    <row r="18" spans="1:10" ht="15.75" customHeight="1">
      <c r="A18" s="105"/>
      <c r="B18" s="128"/>
      <c r="C18" s="121"/>
      <c r="D18" s="120"/>
      <c r="E18" s="144"/>
      <c r="F18" s="144"/>
      <c r="G18" s="142"/>
      <c r="H18" s="142"/>
      <c r="I18" s="142" t="str">
        <f t="shared" si="0"/>
        <v/>
      </c>
      <c r="J18" s="120"/>
    </row>
    <row r="19" spans="1:10" ht="15.75" customHeight="1">
      <c r="A19" s="105"/>
      <c r="B19" s="128"/>
      <c r="C19" s="121"/>
      <c r="D19" s="120"/>
      <c r="E19" s="144"/>
      <c r="F19" s="144"/>
      <c r="G19" s="142"/>
      <c r="H19" s="142"/>
      <c r="I19" s="142" t="str">
        <f t="shared" si="0"/>
        <v/>
      </c>
      <c r="J19" s="120"/>
    </row>
    <row r="20" spans="1:10" ht="15.75" customHeight="1">
      <c r="A20" s="105"/>
      <c r="B20" s="128"/>
      <c r="C20" s="121"/>
      <c r="D20" s="120"/>
      <c r="E20" s="144"/>
      <c r="F20" s="144"/>
      <c r="G20" s="142"/>
      <c r="H20" s="142"/>
      <c r="I20" s="142" t="str">
        <f t="shared" si="0"/>
        <v/>
      </c>
      <c r="J20" s="120"/>
    </row>
    <row r="21" spans="1:10" ht="15.75" customHeight="1">
      <c r="A21" s="105"/>
      <c r="B21" s="128"/>
      <c r="C21" s="121"/>
      <c r="D21" s="120"/>
      <c r="E21" s="144"/>
      <c r="F21" s="144"/>
      <c r="G21" s="142"/>
      <c r="H21" s="142"/>
      <c r="I21" s="142" t="str">
        <f t="shared" si="0"/>
        <v/>
      </c>
      <c r="J21" s="120"/>
    </row>
    <row r="22" spans="1:10" ht="15.75" customHeight="1">
      <c r="A22" s="105"/>
      <c r="B22" s="128"/>
      <c r="C22" s="121"/>
      <c r="D22" s="120"/>
      <c r="E22" s="144"/>
      <c r="F22" s="144"/>
      <c r="G22" s="142"/>
      <c r="H22" s="142"/>
      <c r="I22" s="142" t="str">
        <f t="shared" si="0"/>
        <v/>
      </c>
      <c r="J22" s="120"/>
    </row>
    <row r="23" spans="1:10" ht="15.75" customHeight="1">
      <c r="A23" s="105"/>
      <c r="B23" s="128"/>
      <c r="C23" s="121"/>
      <c r="D23" s="120"/>
      <c r="E23" s="144"/>
      <c r="F23" s="144"/>
      <c r="G23" s="142"/>
      <c r="H23" s="142"/>
      <c r="I23" s="142" t="str">
        <f t="shared" si="0"/>
        <v/>
      </c>
      <c r="J23" s="120"/>
    </row>
    <row r="24" spans="1:10" ht="15.75" customHeight="1">
      <c r="A24" s="105"/>
      <c r="B24" s="128"/>
      <c r="C24" s="121"/>
      <c r="D24" s="120"/>
      <c r="E24" s="144"/>
      <c r="F24" s="144"/>
      <c r="G24" s="142"/>
      <c r="H24" s="142"/>
      <c r="I24" s="142" t="str">
        <f t="shared" si="0"/>
        <v/>
      </c>
      <c r="J24" s="120"/>
    </row>
    <row r="25" spans="1:10" ht="15.75" customHeight="1">
      <c r="A25" s="105"/>
      <c r="B25" s="128"/>
      <c r="C25" s="121"/>
      <c r="D25" s="120"/>
      <c r="E25" s="144"/>
      <c r="F25" s="144"/>
      <c r="G25" s="142"/>
      <c r="H25" s="142"/>
      <c r="I25" s="142" t="str">
        <f t="shared" si="0"/>
        <v/>
      </c>
      <c r="J25" s="120"/>
    </row>
    <row r="26" spans="1:10" ht="15.75" customHeight="1">
      <c r="A26" s="105"/>
      <c r="B26" s="128"/>
      <c r="C26" s="121"/>
      <c r="D26" s="120"/>
      <c r="E26" s="144"/>
      <c r="F26" s="144"/>
      <c r="G26" s="142"/>
      <c r="H26" s="142"/>
      <c r="I26" s="142"/>
      <c r="J26" s="120"/>
    </row>
    <row r="27" spans="1:10" ht="15.75" customHeight="1">
      <c r="A27" s="809" t="s">
        <v>54</v>
      </c>
      <c r="B27" s="810"/>
      <c r="C27" s="121"/>
      <c r="D27" s="120"/>
      <c r="E27" s="144">
        <f>SUM(E6:E26)</f>
        <v>0</v>
      </c>
      <c r="F27" s="144"/>
      <c r="G27" s="142">
        <f>SUM(G6:G26)</f>
        <v>0</v>
      </c>
      <c r="H27" s="142">
        <f>SUM(H6:H26)</f>
        <v>0</v>
      </c>
      <c r="I27" s="142" t="str">
        <f t="shared" si="0"/>
        <v/>
      </c>
      <c r="J27" s="120"/>
    </row>
    <row r="28" spans="1:10" ht="15.75" customHeight="1">
      <c r="A28" s="101" t="e">
        <f>#REF!&amp;#REF!</f>
        <v>#REF!</v>
      </c>
      <c r="G28" s="115" t="e">
        <f>"评估人员："&amp;#REF!</f>
        <v>#REF!</v>
      </c>
    </row>
    <row r="29" spans="1:10" ht="15.75" customHeight="1">
      <c r="A29" s="101" t="e">
        <f>CONCATENATE(#REF!,#REF!,#REF!,#REF!,#REF!,#REF!,#REF!)</f>
        <v>#REF!</v>
      </c>
    </row>
  </sheetData>
  <mergeCells count="3">
    <mergeCell ref="A2:J2"/>
    <mergeCell ref="A3:J3"/>
    <mergeCell ref="A27:B27"/>
  </mergeCells>
  <phoneticPr fontId="6" type="noConversion"/>
  <hyperlinks>
    <hyperlink ref="A1" location="索引目录!D16" display="应收股利"/>
    <hyperlink ref="B1" location="流动汇总!B12" display="应收股利（应收利润）"/>
  </hyperlinks>
  <printOptions horizontalCentered="1"/>
  <pageMargins left="0.35433070866141736" right="0.35433070866141736" top="0.78740157480314965" bottom="0.78740157480314965" header="1.02" footer="0.51181102362204722"/>
  <pageSetup paperSize="9" scale="89" fitToHeight="0" orientation="landscape" horizontalDpi="4294967292" r:id="rId1"/>
  <headerFooter alignWithMargins="0">
    <oddHeader>&amp;R&amp;"宋体,常规"&amp;10表&amp;"Times New Roman,常规"3-7
&amp;"宋体,常规"共&amp;"Times New Roman,常规"&amp;N&amp;"宋体,常规"页第&amp;"Times New Roman,常规"&amp;P&amp;"宋体,常规"页</oddHead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pageSetUpPr fitToPage="1"/>
  </sheetPr>
  <dimension ref="A1:S34"/>
  <sheetViews>
    <sheetView topLeftCell="C1" workbookViewId="0">
      <selection activeCell="H10" sqref="H10"/>
    </sheetView>
  </sheetViews>
  <sheetFormatPr defaultRowHeight="15.75" customHeight="1" outlineLevelCol="1"/>
  <cols>
    <col min="1" max="1" width="5.25" style="4" customWidth="1"/>
    <col min="2" max="2" width="25.375" style="4" customWidth="1"/>
    <col min="3" max="3" width="19.375" style="4" customWidth="1"/>
    <col min="4" max="4" width="11.125" style="4" customWidth="1"/>
    <col min="5" max="5" width="7.75" style="4" customWidth="1"/>
    <col min="6" max="6" width="13.125" style="4" customWidth="1" outlineLevel="1"/>
    <col min="7" max="7" width="10.375" style="123" customWidth="1" outlineLevel="1"/>
    <col min="8" max="11" width="8.75" style="123" customWidth="1" outlineLevel="1"/>
    <col min="12" max="12" width="10.375" style="123" customWidth="1" outlineLevel="1"/>
    <col min="13" max="13" width="8.25" style="123" customWidth="1" outlineLevel="1"/>
    <col min="14" max="14" width="10.75" style="137" customWidth="1" outlineLevel="1"/>
    <col min="15" max="15" width="7.75" style="137" customWidth="1" outlineLevel="1"/>
    <col min="16" max="17" width="14.375" style="4" customWidth="1"/>
    <col min="18" max="18" width="9.625" style="4" bestFit="1" customWidth="1"/>
    <col min="19" max="19" width="14.75" style="4" customWidth="1"/>
    <col min="20" max="16384" width="9" style="4"/>
  </cols>
  <sheetData>
    <row r="1" spans="1:19" s="141" customFormat="1" ht="14.25">
      <c r="A1" s="272" t="s">
        <v>130</v>
      </c>
      <c r="B1" s="196" t="s">
        <v>327</v>
      </c>
      <c r="C1" s="140"/>
      <c r="D1" s="140"/>
      <c r="E1" s="140"/>
      <c r="F1" s="140"/>
      <c r="G1" s="140"/>
      <c r="H1" s="140"/>
      <c r="I1" s="140"/>
      <c r="J1" s="140"/>
      <c r="K1" s="140"/>
      <c r="L1" s="140"/>
      <c r="M1" s="140"/>
      <c r="N1" s="140"/>
      <c r="O1" s="140"/>
      <c r="P1" s="140"/>
      <c r="Q1" s="140"/>
      <c r="R1" s="140"/>
      <c r="S1" s="140"/>
    </row>
    <row r="2" spans="1:19" s="114" customFormat="1" ht="30" customHeight="1">
      <c r="A2" s="790" t="s">
        <v>903</v>
      </c>
      <c r="B2" s="791"/>
      <c r="C2" s="791"/>
      <c r="D2" s="791"/>
      <c r="E2" s="791"/>
      <c r="F2" s="791"/>
      <c r="G2" s="791"/>
      <c r="H2" s="791"/>
      <c r="I2" s="791"/>
      <c r="J2" s="791"/>
      <c r="K2" s="791"/>
      <c r="L2" s="791"/>
      <c r="M2" s="791"/>
      <c r="N2" s="791"/>
      <c r="O2" s="791"/>
      <c r="P2" s="791"/>
      <c r="Q2" s="791"/>
      <c r="R2" s="791"/>
      <c r="S2" s="791"/>
    </row>
    <row r="3" spans="1:19" ht="14.1" customHeight="1">
      <c r="A3" s="792" t="e">
        <f>CONCATENATE(#REF!,#REF!,#REF!,#REF!,#REF!,#REF!,#REF!)</f>
        <v>#REF!</v>
      </c>
      <c r="B3" s="792"/>
      <c r="C3" s="792"/>
      <c r="D3" s="792"/>
      <c r="E3" s="792"/>
      <c r="F3" s="792"/>
      <c r="G3" s="792"/>
      <c r="H3" s="792"/>
      <c r="I3" s="808"/>
      <c r="J3" s="808"/>
      <c r="K3" s="808"/>
      <c r="L3" s="808"/>
      <c r="M3" s="808"/>
      <c r="N3" s="808"/>
      <c r="O3" s="808"/>
      <c r="P3" s="808"/>
      <c r="Q3" s="808"/>
      <c r="R3" s="808"/>
      <c r="S3" s="808"/>
    </row>
    <row r="4" spans="1:19" ht="15.75" customHeight="1">
      <c r="A4" s="115" t="e">
        <f>#REF!&amp;#REF!</f>
        <v>#REF!</v>
      </c>
      <c r="M4" s="811" t="s">
        <v>705</v>
      </c>
      <c r="N4" s="813" t="s">
        <v>940</v>
      </c>
      <c r="O4" s="332"/>
      <c r="S4" s="106" t="s">
        <v>3</v>
      </c>
    </row>
    <row r="5" spans="1:19" s="1" customFormat="1" ht="15.75" customHeight="1">
      <c r="A5" s="2" t="s">
        <v>4</v>
      </c>
      <c r="B5" s="2" t="s">
        <v>51</v>
      </c>
      <c r="C5" s="2" t="s">
        <v>52</v>
      </c>
      <c r="D5" s="2" t="s">
        <v>53</v>
      </c>
      <c r="E5" s="2" t="s">
        <v>349</v>
      </c>
      <c r="F5" s="2" t="s">
        <v>427</v>
      </c>
      <c r="G5" s="136" t="s">
        <v>73</v>
      </c>
      <c r="H5" s="136" t="s">
        <v>298</v>
      </c>
      <c r="I5" s="136" t="s">
        <v>299</v>
      </c>
      <c r="J5" s="136" t="s">
        <v>75</v>
      </c>
      <c r="K5" s="136" t="s">
        <v>76</v>
      </c>
      <c r="L5" s="136" t="s">
        <v>77</v>
      </c>
      <c r="M5" s="812"/>
      <c r="N5" s="814"/>
      <c r="O5" s="282" t="s">
        <v>711</v>
      </c>
      <c r="P5" s="2" t="s">
        <v>315</v>
      </c>
      <c r="Q5" s="2" t="s">
        <v>0</v>
      </c>
      <c r="R5" s="2" t="s">
        <v>20</v>
      </c>
      <c r="S5" s="2" t="s">
        <v>72</v>
      </c>
    </row>
    <row r="6" spans="1:19" ht="15.75" customHeight="1">
      <c r="A6" s="105"/>
      <c r="B6" s="128"/>
      <c r="C6" s="105"/>
      <c r="D6" s="121"/>
      <c r="E6" s="105"/>
      <c r="F6" s="142"/>
      <c r="G6" s="158"/>
      <c r="H6" s="158"/>
      <c r="I6" s="158"/>
      <c r="J6" s="158"/>
      <c r="K6" s="158"/>
      <c r="L6" s="158"/>
      <c r="M6" s="158">
        <f>SUM(G6:L6)-F6</f>
        <v>0</v>
      </c>
      <c r="N6" s="281"/>
      <c r="O6" s="281"/>
      <c r="P6" s="142"/>
      <c r="Q6" s="142"/>
      <c r="R6" s="142" t="str">
        <f>IF(P6=0,"",(Q6-P6)/P6*100)</f>
        <v/>
      </c>
      <c r="S6" s="120"/>
    </row>
    <row r="7" spans="1:19" ht="15.75" customHeight="1">
      <c r="A7" s="105"/>
      <c r="B7" s="128"/>
      <c r="C7" s="105"/>
      <c r="D7" s="121"/>
      <c r="E7" s="105"/>
      <c r="F7" s="142"/>
      <c r="G7" s="158"/>
      <c r="H7" s="158"/>
      <c r="I7" s="158"/>
      <c r="J7" s="158"/>
      <c r="K7" s="158"/>
      <c r="L7" s="158"/>
      <c r="M7" s="158">
        <f t="shared" ref="M7:M25" si="0">SUM(G7:L7)-F7</f>
        <v>0</v>
      </c>
      <c r="N7" s="281"/>
      <c r="O7" s="281"/>
      <c r="P7" s="142"/>
      <c r="Q7" s="142"/>
      <c r="R7" s="142" t="str">
        <f t="shared" ref="R7:R27" si="1">IF(P7=0,"",(Q7-P7)/P7*100)</f>
        <v/>
      </c>
      <c r="S7" s="120"/>
    </row>
    <row r="8" spans="1:19" ht="15.75" customHeight="1">
      <c r="A8" s="105"/>
      <c r="B8" s="128"/>
      <c r="C8" s="105"/>
      <c r="D8" s="121"/>
      <c r="E8" s="105"/>
      <c r="F8" s="142"/>
      <c r="G8" s="158"/>
      <c r="H8" s="158"/>
      <c r="I8" s="158"/>
      <c r="J8" s="158"/>
      <c r="K8" s="158"/>
      <c r="L8" s="158"/>
      <c r="M8" s="158">
        <f t="shared" si="0"/>
        <v>0</v>
      </c>
      <c r="N8" s="281"/>
      <c r="O8" s="281"/>
      <c r="P8" s="142"/>
      <c r="Q8" s="142"/>
      <c r="R8" s="142" t="str">
        <f t="shared" si="1"/>
        <v/>
      </c>
      <c r="S8" s="120"/>
    </row>
    <row r="9" spans="1:19" ht="15.75" customHeight="1">
      <c r="A9" s="105"/>
      <c r="B9" s="128"/>
      <c r="C9" s="105"/>
      <c r="D9" s="121"/>
      <c r="E9" s="105"/>
      <c r="F9" s="142"/>
      <c r="G9" s="158"/>
      <c r="H9" s="158"/>
      <c r="I9" s="158"/>
      <c r="J9" s="158"/>
      <c r="K9" s="158"/>
      <c r="L9" s="158"/>
      <c r="M9" s="158">
        <f t="shared" si="0"/>
        <v>0</v>
      </c>
      <c r="N9" s="281"/>
      <c r="O9" s="281"/>
      <c r="P9" s="142"/>
      <c r="Q9" s="142"/>
      <c r="R9" s="142" t="str">
        <f t="shared" si="1"/>
        <v/>
      </c>
      <c r="S9" s="120"/>
    </row>
    <row r="10" spans="1:19" ht="15.75" customHeight="1">
      <c r="A10" s="105"/>
      <c r="B10" s="128"/>
      <c r="C10" s="105"/>
      <c r="D10" s="121"/>
      <c r="E10" s="105"/>
      <c r="F10" s="142"/>
      <c r="G10" s="158"/>
      <c r="H10" s="158"/>
      <c r="I10" s="158"/>
      <c r="J10" s="158"/>
      <c r="K10" s="158"/>
      <c r="L10" s="158"/>
      <c r="M10" s="158">
        <f t="shared" si="0"/>
        <v>0</v>
      </c>
      <c r="N10" s="281"/>
      <c r="O10" s="281"/>
      <c r="P10" s="142"/>
      <c r="Q10" s="142"/>
      <c r="R10" s="142" t="str">
        <f t="shared" si="1"/>
        <v/>
      </c>
      <c r="S10" s="120"/>
    </row>
    <row r="11" spans="1:19" ht="15.75" customHeight="1">
      <c r="A11" s="105"/>
      <c r="B11" s="128"/>
      <c r="C11" s="105"/>
      <c r="D11" s="121"/>
      <c r="E11" s="105"/>
      <c r="F11" s="142"/>
      <c r="G11" s="158"/>
      <c r="H11" s="158"/>
      <c r="I11" s="158"/>
      <c r="J11" s="158"/>
      <c r="K11" s="158"/>
      <c r="L11" s="158"/>
      <c r="M11" s="158">
        <f t="shared" si="0"/>
        <v>0</v>
      </c>
      <c r="N11" s="281"/>
      <c r="O11" s="281"/>
      <c r="P11" s="142"/>
      <c r="Q11" s="142"/>
      <c r="R11" s="142" t="str">
        <f t="shared" si="1"/>
        <v/>
      </c>
      <c r="S11" s="120"/>
    </row>
    <row r="12" spans="1:19" ht="15.75" customHeight="1">
      <c r="A12" s="105"/>
      <c r="B12" s="128"/>
      <c r="C12" s="105"/>
      <c r="D12" s="121"/>
      <c r="E12" s="105"/>
      <c r="F12" s="142"/>
      <c r="G12" s="158"/>
      <c r="H12" s="158"/>
      <c r="I12" s="158"/>
      <c r="J12" s="158"/>
      <c r="K12" s="158"/>
      <c r="L12" s="158"/>
      <c r="M12" s="158">
        <f t="shared" si="0"/>
        <v>0</v>
      </c>
      <c r="N12" s="281"/>
      <c r="O12" s="281"/>
      <c r="P12" s="142"/>
      <c r="Q12" s="142"/>
      <c r="R12" s="142" t="str">
        <f t="shared" si="1"/>
        <v/>
      </c>
      <c r="S12" s="120"/>
    </row>
    <row r="13" spans="1:19" ht="15.75" customHeight="1">
      <c r="A13" s="105"/>
      <c r="B13" s="128"/>
      <c r="C13" s="105"/>
      <c r="D13" s="121"/>
      <c r="E13" s="105"/>
      <c r="F13" s="142"/>
      <c r="G13" s="158"/>
      <c r="H13" s="158"/>
      <c r="I13" s="158"/>
      <c r="J13" s="158"/>
      <c r="K13" s="158"/>
      <c r="L13" s="158"/>
      <c r="M13" s="158">
        <f t="shared" si="0"/>
        <v>0</v>
      </c>
      <c r="N13" s="281"/>
      <c r="O13" s="281"/>
      <c r="P13" s="142"/>
      <c r="Q13" s="142"/>
      <c r="R13" s="142" t="str">
        <f t="shared" si="1"/>
        <v/>
      </c>
      <c r="S13" s="120"/>
    </row>
    <row r="14" spans="1:19" ht="15.75" customHeight="1">
      <c r="A14" s="105"/>
      <c r="B14" s="128"/>
      <c r="C14" s="105"/>
      <c r="D14" s="121"/>
      <c r="E14" s="105"/>
      <c r="F14" s="142"/>
      <c r="G14" s="158"/>
      <c r="H14" s="158"/>
      <c r="I14" s="158"/>
      <c r="J14" s="158"/>
      <c r="K14" s="158"/>
      <c r="L14" s="158"/>
      <c r="M14" s="158">
        <f t="shared" si="0"/>
        <v>0</v>
      </c>
      <c r="N14" s="281"/>
      <c r="O14" s="281"/>
      <c r="P14" s="142"/>
      <c r="Q14" s="142"/>
      <c r="R14" s="142" t="str">
        <f t="shared" si="1"/>
        <v/>
      </c>
      <c r="S14" s="120"/>
    </row>
    <row r="15" spans="1:19" ht="15.75" customHeight="1">
      <c r="A15" s="105"/>
      <c r="B15" s="128"/>
      <c r="C15" s="105"/>
      <c r="D15" s="121"/>
      <c r="E15" s="105"/>
      <c r="F15" s="142"/>
      <c r="G15" s="158"/>
      <c r="H15" s="158"/>
      <c r="I15" s="158"/>
      <c r="J15" s="158"/>
      <c r="K15" s="158"/>
      <c r="L15" s="158"/>
      <c r="M15" s="158">
        <f t="shared" si="0"/>
        <v>0</v>
      </c>
      <c r="N15" s="281"/>
      <c r="O15" s="281"/>
      <c r="P15" s="142"/>
      <c r="Q15" s="142"/>
      <c r="R15" s="142" t="str">
        <f t="shared" si="1"/>
        <v/>
      </c>
      <c r="S15" s="120"/>
    </row>
    <row r="16" spans="1:19" ht="15.75" customHeight="1">
      <c r="A16" s="105"/>
      <c r="B16" s="128"/>
      <c r="C16" s="105"/>
      <c r="D16" s="121"/>
      <c r="E16" s="105"/>
      <c r="F16" s="142"/>
      <c r="G16" s="158"/>
      <c r="H16" s="158"/>
      <c r="I16" s="158"/>
      <c r="J16" s="158"/>
      <c r="K16" s="158"/>
      <c r="L16" s="158"/>
      <c r="M16" s="158">
        <f t="shared" si="0"/>
        <v>0</v>
      </c>
      <c r="N16" s="281"/>
      <c r="O16" s="281"/>
      <c r="P16" s="142"/>
      <c r="Q16" s="142"/>
      <c r="R16" s="142" t="str">
        <f t="shared" si="1"/>
        <v/>
      </c>
      <c r="S16" s="120"/>
    </row>
    <row r="17" spans="1:19" ht="15.75" customHeight="1">
      <c r="A17" s="105"/>
      <c r="B17" s="128"/>
      <c r="C17" s="105"/>
      <c r="D17" s="121"/>
      <c r="E17" s="105"/>
      <c r="F17" s="142"/>
      <c r="G17" s="158"/>
      <c r="H17" s="158"/>
      <c r="I17" s="158"/>
      <c r="J17" s="158"/>
      <c r="K17" s="158"/>
      <c r="L17" s="158"/>
      <c r="M17" s="158">
        <f t="shared" si="0"/>
        <v>0</v>
      </c>
      <c r="N17" s="281"/>
      <c r="O17" s="281"/>
      <c r="P17" s="142"/>
      <c r="Q17" s="142"/>
      <c r="R17" s="142" t="str">
        <f t="shared" si="1"/>
        <v/>
      </c>
      <c r="S17" s="120"/>
    </row>
    <row r="18" spans="1:19" ht="15.75" customHeight="1">
      <c r="A18" s="105"/>
      <c r="B18" s="128"/>
      <c r="C18" s="105"/>
      <c r="D18" s="121"/>
      <c r="E18" s="105"/>
      <c r="F18" s="142"/>
      <c r="G18" s="158"/>
      <c r="H18" s="158"/>
      <c r="I18" s="158"/>
      <c r="J18" s="158"/>
      <c r="K18" s="158"/>
      <c r="L18" s="158"/>
      <c r="M18" s="158">
        <f t="shared" si="0"/>
        <v>0</v>
      </c>
      <c r="N18" s="281"/>
      <c r="O18" s="281"/>
      <c r="P18" s="142"/>
      <c r="Q18" s="142"/>
      <c r="R18" s="142" t="str">
        <f t="shared" si="1"/>
        <v/>
      </c>
      <c r="S18" s="120"/>
    </row>
    <row r="19" spans="1:19" ht="15.75" customHeight="1">
      <c r="A19" s="105"/>
      <c r="B19" s="128"/>
      <c r="C19" s="105"/>
      <c r="D19" s="121"/>
      <c r="E19" s="105"/>
      <c r="F19" s="142"/>
      <c r="G19" s="158"/>
      <c r="H19" s="158"/>
      <c r="I19" s="158"/>
      <c r="J19" s="158"/>
      <c r="K19" s="158"/>
      <c r="L19" s="158"/>
      <c r="M19" s="158">
        <f t="shared" si="0"/>
        <v>0</v>
      </c>
      <c r="N19" s="281"/>
      <c r="O19" s="281"/>
      <c r="P19" s="142"/>
      <c r="Q19" s="142"/>
      <c r="R19" s="142" t="str">
        <f t="shared" si="1"/>
        <v/>
      </c>
      <c r="S19" s="120"/>
    </row>
    <row r="20" spans="1:19" ht="15.75" customHeight="1">
      <c r="A20" s="105"/>
      <c r="B20" s="128"/>
      <c r="C20" s="105"/>
      <c r="D20" s="121"/>
      <c r="E20" s="105"/>
      <c r="F20" s="142"/>
      <c r="G20" s="158"/>
      <c r="H20" s="158"/>
      <c r="I20" s="158"/>
      <c r="J20" s="158"/>
      <c r="K20" s="158"/>
      <c r="L20" s="158"/>
      <c r="M20" s="158">
        <f t="shared" si="0"/>
        <v>0</v>
      </c>
      <c r="N20" s="281"/>
      <c r="O20" s="281"/>
      <c r="P20" s="142"/>
      <c r="Q20" s="142"/>
      <c r="R20" s="142" t="str">
        <f t="shared" si="1"/>
        <v/>
      </c>
      <c r="S20" s="120"/>
    </row>
    <row r="21" spans="1:19" ht="15.75" customHeight="1">
      <c r="A21" s="105"/>
      <c r="B21" s="128"/>
      <c r="C21" s="105"/>
      <c r="D21" s="121"/>
      <c r="E21" s="105"/>
      <c r="F21" s="142"/>
      <c r="G21" s="158"/>
      <c r="H21" s="158"/>
      <c r="I21" s="158"/>
      <c r="J21" s="158"/>
      <c r="K21" s="158"/>
      <c r="L21" s="158"/>
      <c r="M21" s="158">
        <f t="shared" si="0"/>
        <v>0</v>
      </c>
      <c r="N21" s="281"/>
      <c r="O21" s="281"/>
      <c r="P21" s="142"/>
      <c r="Q21" s="142"/>
      <c r="R21" s="142" t="str">
        <f t="shared" si="1"/>
        <v/>
      </c>
      <c r="S21" s="120"/>
    </row>
    <row r="22" spans="1:19" ht="15.75" customHeight="1">
      <c r="A22" s="105"/>
      <c r="B22" s="128"/>
      <c r="C22" s="105"/>
      <c r="D22" s="121"/>
      <c r="E22" s="105"/>
      <c r="F22" s="142"/>
      <c r="G22" s="158"/>
      <c r="H22" s="158"/>
      <c r="I22" s="158"/>
      <c r="J22" s="158"/>
      <c r="K22" s="158"/>
      <c r="L22" s="158"/>
      <c r="M22" s="158">
        <f t="shared" si="0"/>
        <v>0</v>
      </c>
      <c r="N22" s="281"/>
      <c r="O22" s="281"/>
      <c r="P22" s="142"/>
      <c r="Q22" s="142"/>
      <c r="R22" s="142" t="str">
        <f t="shared" si="1"/>
        <v/>
      </c>
      <c r="S22" s="120"/>
    </row>
    <row r="23" spans="1:19" ht="15.75" customHeight="1">
      <c r="A23" s="105"/>
      <c r="B23" s="128"/>
      <c r="C23" s="105"/>
      <c r="D23" s="121"/>
      <c r="E23" s="105"/>
      <c r="F23" s="142"/>
      <c r="G23" s="158"/>
      <c r="H23" s="158"/>
      <c r="I23" s="158"/>
      <c r="J23" s="158"/>
      <c r="K23" s="158"/>
      <c r="L23" s="158"/>
      <c r="M23" s="158">
        <f t="shared" si="0"/>
        <v>0</v>
      </c>
      <c r="N23" s="281"/>
      <c r="O23" s="281"/>
      <c r="P23" s="142"/>
      <c r="Q23" s="142"/>
      <c r="R23" s="142" t="str">
        <f t="shared" si="1"/>
        <v/>
      </c>
      <c r="S23" s="120"/>
    </row>
    <row r="24" spans="1:19" ht="15.75" customHeight="1">
      <c r="A24" s="809" t="s">
        <v>54</v>
      </c>
      <c r="B24" s="810"/>
      <c r="C24" s="105"/>
      <c r="D24" s="121"/>
      <c r="E24" s="105"/>
      <c r="F24" s="142">
        <f>SUM(F6:F23)</f>
        <v>0</v>
      </c>
      <c r="G24" s="158">
        <f t="shared" ref="G24:P24" si="2">SUM(G6:G23)</f>
        <v>0</v>
      </c>
      <c r="H24" s="158">
        <f t="shared" si="2"/>
        <v>0</v>
      </c>
      <c r="I24" s="158">
        <f t="shared" si="2"/>
        <v>0</v>
      </c>
      <c r="J24" s="158">
        <f t="shared" si="2"/>
        <v>0</v>
      </c>
      <c r="K24" s="158">
        <f t="shared" si="2"/>
        <v>0</v>
      </c>
      <c r="L24" s="158">
        <f t="shared" si="2"/>
        <v>0</v>
      </c>
      <c r="M24" s="158">
        <f t="shared" si="0"/>
        <v>0</v>
      </c>
      <c r="N24" s="281">
        <f t="shared" si="2"/>
        <v>0</v>
      </c>
      <c r="O24" s="281"/>
      <c r="P24" s="142">
        <f t="shared" si="2"/>
        <v>0</v>
      </c>
      <c r="Q24" s="142">
        <f>SUM(Q6:Q23)</f>
        <v>0</v>
      </c>
      <c r="R24" s="142" t="str">
        <f t="shared" si="1"/>
        <v/>
      </c>
      <c r="S24" s="120"/>
    </row>
    <row r="25" spans="1:19" ht="15.75" customHeight="1">
      <c r="A25" s="809" t="s">
        <v>419</v>
      </c>
      <c r="B25" s="810"/>
      <c r="C25" s="105"/>
      <c r="D25" s="121"/>
      <c r="E25" s="105"/>
      <c r="F25" s="142"/>
      <c r="G25" s="158"/>
      <c r="H25" s="158"/>
      <c r="I25" s="158"/>
      <c r="J25" s="158"/>
      <c r="K25" s="158"/>
      <c r="L25" s="158"/>
      <c r="M25" s="158">
        <f t="shared" si="0"/>
        <v>0</v>
      </c>
      <c r="N25" s="281"/>
      <c r="O25" s="281"/>
      <c r="P25" s="142">
        <f>F25</f>
        <v>0</v>
      </c>
      <c r="Q25" s="142">
        <v>0</v>
      </c>
      <c r="R25" s="142" t="str">
        <f t="shared" si="1"/>
        <v/>
      </c>
      <c r="S25" s="120"/>
    </row>
    <row r="26" spans="1:19" ht="15.75" customHeight="1">
      <c r="A26" s="809" t="s">
        <v>417</v>
      </c>
      <c r="B26" s="810"/>
      <c r="C26" s="105"/>
      <c r="D26" s="121"/>
      <c r="E26" s="105"/>
      <c r="F26" s="142"/>
      <c r="G26" s="158"/>
      <c r="H26" s="158"/>
      <c r="I26" s="158"/>
      <c r="J26" s="158"/>
      <c r="K26" s="158"/>
      <c r="L26" s="158"/>
      <c r="M26" s="158"/>
      <c r="N26" s="281"/>
      <c r="O26" s="281"/>
      <c r="P26" s="142"/>
      <c r="Q26" s="142"/>
      <c r="R26" s="142" t="str">
        <f t="shared" si="1"/>
        <v/>
      </c>
      <c r="S26" s="120"/>
    </row>
    <row r="27" spans="1:19" ht="15.75" customHeight="1">
      <c r="A27" s="809" t="s">
        <v>418</v>
      </c>
      <c r="B27" s="810"/>
      <c r="C27" s="120"/>
      <c r="D27" s="121"/>
      <c r="E27" s="120"/>
      <c r="F27" s="142">
        <f>F24-F25-F26</f>
        <v>0</v>
      </c>
      <c r="G27" s="158">
        <f t="shared" ref="G27:Q27" si="3">G24-G25-G26</f>
        <v>0</v>
      </c>
      <c r="H27" s="158">
        <f t="shared" si="3"/>
        <v>0</v>
      </c>
      <c r="I27" s="158">
        <f t="shared" si="3"/>
        <v>0</v>
      </c>
      <c r="J27" s="158">
        <f t="shared" si="3"/>
        <v>0</v>
      </c>
      <c r="K27" s="158">
        <f t="shared" si="3"/>
        <v>0</v>
      </c>
      <c r="L27" s="158">
        <f t="shared" si="3"/>
        <v>0</v>
      </c>
      <c r="M27" s="158">
        <f t="shared" si="3"/>
        <v>0</v>
      </c>
      <c r="N27" s="281">
        <f t="shared" si="3"/>
        <v>0</v>
      </c>
      <c r="O27" s="281"/>
      <c r="P27" s="142">
        <f t="shared" si="3"/>
        <v>0</v>
      </c>
      <c r="Q27" s="142">
        <f t="shared" si="3"/>
        <v>0</v>
      </c>
      <c r="R27" s="142" t="str">
        <f t="shared" si="1"/>
        <v/>
      </c>
      <c r="S27" s="120"/>
    </row>
    <row r="28" spans="1:19" ht="15.75" customHeight="1">
      <c r="A28" s="101" t="e">
        <f>#REF!&amp;#REF!</f>
        <v>#REF!</v>
      </c>
      <c r="G28" s="4"/>
      <c r="P28" s="115" t="e">
        <f>"评估人员："&amp;#REF!</f>
        <v>#REF!</v>
      </c>
    </row>
    <row r="29" spans="1:19" ht="15.75" customHeight="1">
      <c r="A29" s="101" t="e">
        <f>CONCATENATE(#REF!,#REF!,#REF!,#REF!,#REF!,#REF!,#REF!)</f>
        <v>#REF!</v>
      </c>
    </row>
    <row r="30" spans="1:19" ht="15.75" customHeight="1">
      <c r="B30" s="112" t="s">
        <v>300</v>
      </c>
      <c r="C30" s="3" t="s">
        <v>339</v>
      </c>
    </row>
    <row r="31" spans="1:19" ht="15.75" customHeight="1">
      <c r="B31" s="106" t="s">
        <v>309</v>
      </c>
      <c r="C31" s="4" t="s">
        <v>301</v>
      </c>
    </row>
    <row r="32" spans="1:19" ht="15.75" customHeight="1">
      <c r="C32" s="4" t="s">
        <v>302</v>
      </c>
      <c r="G32" s="139"/>
    </row>
    <row r="33" spans="3:7" ht="15.75" customHeight="1">
      <c r="C33" s="4" t="s">
        <v>78</v>
      </c>
      <c r="G33" s="139"/>
    </row>
    <row r="34" spans="3:7" ht="15.75" customHeight="1">
      <c r="C34" s="4" t="s">
        <v>303</v>
      </c>
    </row>
  </sheetData>
  <mergeCells count="8">
    <mergeCell ref="A27:B27"/>
    <mergeCell ref="A2:S2"/>
    <mergeCell ref="A3:S3"/>
    <mergeCell ref="M4:M5"/>
    <mergeCell ref="N4:N5"/>
    <mergeCell ref="A24:B24"/>
    <mergeCell ref="A25:B25"/>
    <mergeCell ref="A26:B26"/>
  </mergeCells>
  <phoneticPr fontId="6" type="noConversion"/>
  <hyperlinks>
    <hyperlink ref="A1" location="索引目录!D17" display="其他应收款"/>
    <hyperlink ref="B1" location="流动汇总!B13" display="其他应收款"/>
  </hyperlinks>
  <printOptions horizontalCentered="1"/>
  <pageMargins left="0.35433070866141736" right="0.35433070866141736" top="0.78740157480314965" bottom="0.78740157480314965" header="1.02" footer="0.51181102362204722"/>
  <pageSetup paperSize="9" scale="60" fitToHeight="0" orientation="landscape" horizontalDpi="4294967292" r:id="rId1"/>
  <headerFooter alignWithMargins="0">
    <oddHeader>&amp;R&amp;"宋体,常规"&amp;10表&amp;"Times New Roman,常规"3-8
&amp;"宋体,常规"共&amp;"Times New Roman,常规"&amp;N&amp;"宋体,常规"页第&amp;"Times New Roman,常规"&amp;P&amp;"宋体,常规"页</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indexed="15"/>
    <pageSetUpPr fitToPage="1"/>
  </sheetPr>
  <dimension ref="A1:G29"/>
  <sheetViews>
    <sheetView zoomScale="85" workbookViewId="0">
      <selection activeCell="H10" sqref="H10"/>
    </sheetView>
  </sheetViews>
  <sheetFormatPr defaultRowHeight="15.75" customHeight="1" outlineLevelCol="1"/>
  <cols>
    <col min="1" max="1" width="8.75" style="4" customWidth="1"/>
    <col min="2" max="2" width="28.625" style="4" customWidth="1"/>
    <col min="3" max="3" width="14.375" style="4" customWidth="1" outlineLevel="1"/>
    <col min="4" max="4" width="22" style="4" customWidth="1"/>
    <col min="5" max="5" width="23.875" style="4" customWidth="1"/>
    <col min="6" max="6" width="21.875" style="4" customWidth="1"/>
    <col min="7" max="7" width="18" style="4" customWidth="1"/>
    <col min="8" max="16384" width="9" style="4"/>
  </cols>
  <sheetData>
    <row r="1" spans="1:7" ht="14.25">
      <c r="A1" s="272" t="s">
        <v>130</v>
      </c>
      <c r="B1" s="196" t="s">
        <v>132</v>
      </c>
      <c r="C1" s="1"/>
      <c r="D1" s="1"/>
      <c r="E1" s="1"/>
      <c r="F1" s="1"/>
      <c r="G1" s="1"/>
    </row>
    <row r="2" spans="1:7" s="114" customFormat="1" ht="30" customHeight="1">
      <c r="A2" s="790" t="s">
        <v>902</v>
      </c>
      <c r="B2" s="791"/>
      <c r="C2" s="791"/>
      <c r="D2" s="791"/>
      <c r="E2" s="791"/>
      <c r="F2" s="791"/>
      <c r="G2" s="791"/>
    </row>
    <row r="3" spans="1:7" ht="14.1" customHeight="1">
      <c r="A3" s="792" t="e">
        <f>CONCATENATE(#REF!,#REF!,#REF!,#REF!,#REF!,#REF!,#REF!)</f>
        <v>#REF!</v>
      </c>
      <c r="B3" s="792"/>
      <c r="C3" s="792"/>
      <c r="D3" s="792"/>
      <c r="E3" s="792"/>
      <c r="F3" s="792"/>
      <c r="G3" s="792"/>
    </row>
    <row r="4" spans="1:7" ht="15.75" customHeight="1">
      <c r="A4" s="115" t="e">
        <f>#REF!&amp;#REF!</f>
        <v>#REF!</v>
      </c>
      <c r="G4" s="156" t="s">
        <v>350</v>
      </c>
    </row>
    <row r="5" spans="1:7" s="284" customFormat="1" ht="15.75" customHeight="1">
      <c r="A5" s="323" t="s">
        <v>351</v>
      </c>
      <c r="B5" s="323" t="s">
        <v>352</v>
      </c>
      <c r="C5" s="323" t="s">
        <v>426</v>
      </c>
      <c r="D5" s="323" t="s">
        <v>315</v>
      </c>
      <c r="E5" s="323" t="s">
        <v>353</v>
      </c>
      <c r="F5" s="324" t="s">
        <v>354</v>
      </c>
      <c r="G5" s="323" t="s">
        <v>355</v>
      </c>
    </row>
    <row r="6" spans="1:7" ht="15.75" customHeight="1">
      <c r="A6" s="127" t="s">
        <v>507</v>
      </c>
      <c r="B6" s="230" t="s">
        <v>515</v>
      </c>
      <c r="C6" s="142">
        <f>'材料采购（在途物资）'!G27</f>
        <v>0</v>
      </c>
      <c r="D6" s="142">
        <f>'材料采购（在途物资）'!L27</f>
        <v>0</v>
      </c>
      <c r="E6" s="142">
        <f>'材料采购（在途物资）'!O27</f>
        <v>0</v>
      </c>
      <c r="F6" s="142">
        <f>E6-D6</f>
        <v>0</v>
      </c>
      <c r="G6" s="155" t="str">
        <f t="shared" ref="G6:G13" si="0">IF(D6=0,"",F6/D6*100)</f>
        <v/>
      </c>
    </row>
    <row r="7" spans="1:7" ht="15.75" customHeight="1">
      <c r="A7" s="127" t="s">
        <v>508</v>
      </c>
      <c r="B7" s="232" t="s">
        <v>356</v>
      </c>
      <c r="C7" s="142">
        <f>原材料!G27</f>
        <v>0</v>
      </c>
      <c r="D7" s="142">
        <f>原材料!L27</f>
        <v>0</v>
      </c>
      <c r="E7" s="142">
        <f>原材料!O27</f>
        <v>0</v>
      </c>
      <c r="F7" s="142">
        <f>E7-D7</f>
        <v>0</v>
      </c>
      <c r="G7" s="155" t="str">
        <f t="shared" si="0"/>
        <v/>
      </c>
    </row>
    <row r="8" spans="1:7" ht="15.75" customHeight="1">
      <c r="A8" s="127" t="s">
        <v>509</v>
      </c>
      <c r="B8" s="232" t="s">
        <v>518</v>
      </c>
      <c r="C8" s="142">
        <f>在库周转材料!G23</f>
        <v>0</v>
      </c>
      <c r="D8" s="142">
        <f>在库周转材料!L23</f>
        <v>0</v>
      </c>
      <c r="E8" s="142">
        <f>在库周转材料!O23</f>
        <v>0</v>
      </c>
      <c r="F8" s="142">
        <f t="shared" ref="F8:F13" si="1">E8-D8</f>
        <v>0</v>
      </c>
      <c r="G8" s="155" t="str">
        <f t="shared" si="0"/>
        <v/>
      </c>
    </row>
    <row r="9" spans="1:7" ht="15.75" customHeight="1">
      <c r="A9" s="127" t="s">
        <v>510</v>
      </c>
      <c r="B9" s="232" t="s">
        <v>699</v>
      </c>
      <c r="C9" s="142">
        <f>委托加工物资!H27</f>
        <v>0</v>
      </c>
      <c r="D9" s="142">
        <f>委托加工物资!M27</f>
        <v>0</v>
      </c>
      <c r="E9" s="142">
        <f>委托加工物资!P27</f>
        <v>0</v>
      </c>
      <c r="F9" s="142">
        <f>E9-D9</f>
        <v>0</v>
      </c>
      <c r="G9" s="155" t="str">
        <f t="shared" si="0"/>
        <v/>
      </c>
    </row>
    <row r="10" spans="1:7" ht="15.75" customHeight="1">
      <c r="A10" s="127" t="s">
        <v>511</v>
      </c>
      <c r="B10" s="232" t="s">
        <v>700</v>
      </c>
      <c r="C10" s="142">
        <f>'产成品（库存商品）'!G26</f>
        <v>0</v>
      </c>
      <c r="D10" s="142">
        <f>'产成品（库存商品）'!L26</f>
        <v>0</v>
      </c>
      <c r="E10" s="142">
        <f>'产成品（库存商品）'!O26</f>
        <v>0</v>
      </c>
      <c r="F10" s="142">
        <f t="shared" si="1"/>
        <v>0</v>
      </c>
      <c r="G10" s="155" t="str">
        <f t="shared" si="0"/>
        <v/>
      </c>
    </row>
    <row r="11" spans="1:7" ht="15.75" customHeight="1">
      <c r="A11" s="127" t="s">
        <v>512</v>
      </c>
      <c r="B11" s="232" t="s">
        <v>701</v>
      </c>
      <c r="C11" s="142">
        <f>'在产品（自制半成品）'!G27</f>
        <v>0</v>
      </c>
      <c r="D11" s="142">
        <f>'在产品（自制半成品）'!L27</f>
        <v>0</v>
      </c>
      <c r="E11" s="142">
        <f>'在产品（自制半成品）'!O27</f>
        <v>0</v>
      </c>
      <c r="F11" s="142">
        <f t="shared" si="1"/>
        <v>0</v>
      </c>
      <c r="G11" s="155" t="str">
        <f t="shared" si="0"/>
        <v/>
      </c>
    </row>
    <row r="12" spans="1:7" ht="15.75" customHeight="1">
      <c r="A12" s="127" t="s">
        <v>513</v>
      </c>
      <c r="B12" s="232" t="s">
        <v>702</v>
      </c>
      <c r="C12" s="142">
        <f>发出商品!H27</f>
        <v>0</v>
      </c>
      <c r="D12" s="142">
        <f>发出商品!M27</f>
        <v>0</v>
      </c>
      <c r="E12" s="142">
        <f>发出商品!P27</f>
        <v>0</v>
      </c>
      <c r="F12" s="142">
        <f>E12-D12</f>
        <v>0</v>
      </c>
      <c r="G12" s="155" t="str">
        <f t="shared" si="0"/>
        <v/>
      </c>
    </row>
    <row r="13" spans="1:7" ht="15.75" customHeight="1">
      <c r="A13" s="127" t="s">
        <v>514</v>
      </c>
      <c r="B13" s="232" t="s">
        <v>519</v>
      </c>
      <c r="C13" s="142">
        <f>在用周转材料!H23</f>
        <v>0</v>
      </c>
      <c r="D13" s="142">
        <f>在用周转材料!L23</f>
        <v>0</v>
      </c>
      <c r="E13" s="142">
        <f>在用周转材料!P23</f>
        <v>0</v>
      </c>
      <c r="F13" s="142">
        <f t="shared" si="1"/>
        <v>0</v>
      </c>
      <c r="G13" s="155" t="str">
        <f t="shared" si="0"/>
        <v/>
      </c>
    </row>
    <row r="14" spans="1:7" s="138" customFormat="1" ht="15.75" customHeight="1">
      <c r="A14" s="229"/>
      <c r="B14" s="230"/>
      <c r="C14" s="143"/>
      <c r="D14" s="143"/>
      <c r="E14" s="143"/>
      <c r="F14" s="143"/>
      <c r="G14" s="231"/>
    </row>
    <row r="15" spans="1:7" ht="15.75" customHeight="1">
      <c r="A15" s="127"/>
      <c r="B15" s="120"/>
      <c r="C15" s="142"/>
      <c r="D15" s="142"/>
      <c r="E15" s="142"/>
      <c r="F15" s="142"/>
      <c r="G15" s="155"/>
    </row>
    <row r="16" spans="1:7" ht="15.75" customHeight="1">
      <c r="A16" s="127"/>
      <c r="B16" s="120"/>
      <c r="C16" s="142"/>
      <c r="D16" s="142"/>
      <c r="E16" s="142"/>
      <c r="F16" s="142"/>
      <c r="G16" s="155"/>
    </row>
    <row r="17" spans="1:7" ht="15.75" customHeight="1">
      <c r="A17" s="105"/>
      <c r="B17" s="120"/>
      <c r="C17" s="142"/>
      <c r="D17" s="142"/>
      <c r="E17" s="142"/>
      <c r="F17" s="142"/>
      <c r="G17" s="155"/>
    </row>
    <row r="18" spans="1:7" ht="15.75" customHeight="1">
      <c r="A18" s="105"/>
      <c r="B18" s="120"/>
      <c r="C18" s="142"/>
      <c r="D18" s="142"/>
      <c r="E18" s="142"/>
      <c r="F18" s="142"/>
      <c r="G18" s="155"/>
    </row>
    <row r="19" spans="1:7" ht="15.75" customHeight="1">
      <c r="A19" s="105"/>
      <c r="B19" s="120"/>
      <c r="C19" s="142"/>
      <c r="D19" s="142"/>
      <c r="E19" s="142"/>
      <c r="F19" s="142"/>
      <c r="G19" s="155"/>
    </row>
    <row r="20" spans="1:7" ht="15.75" customHeight="1">
      <c r="A20" s="105"/>
      <c r="B20" s="120"/>
      <c r="C20" s="142"/>
      <c r="D20" s="142"/>
      <c r="E20" s="142"/>
      <c r="F20" s="142"/>
      <c r="G20" s="155"/>
    </row>
    <row r="21" spans="1:7" ht="15.75" customHeight="1">
      <c r="A21" s="105"/>
      <c r="B21" s="120"/>
      <c r="C21" s="142"/>
      <c r="D21" s="142"/>
      <c r="E21" s="142"/>
      <c r="F21" s="142"/>
      <c r="G21" s="155"/>
    </row>
    <row r="22" spans="1:7" ht="15.75" customHeight="1">
      <c r="A22" s="105"/>
      <c r="B22" s="120"/>
      <c r="C22" s="142"/>
      <c r="D22" s="142"/>
      <c r="E22" s="142"/>
      <c r="F22" s="142"/>
      <c r="G22" s="155"/>
    </row>
    <row r="23" spans="1:7" ht="15.75" customHeight="1">
      <c r="A23" s="105"/>
      <c r="B23" s="120"/>
      <c r="C23" s="142"/>
      <c r="D23" s="142"/>
      <c r="E23" s="142"/>
      <c r="F23" s="142"/>
      <c r="G23" s="155"/>
    </row>
    <row r="24" spans="1:7" ht="15.75" customHeight="1">
      <c r="A24" s="105"/>
      <c r="B24" s="120"/>
      <c r="C24" s="142"/>
      <c r="D24" s="142"/>
      <c r="E24" s="142"/>
      <c r="F24" s="142"/>
      <c r="G24" s="155"/>
    </row>
    <row r="25" spans="1:7" ht="15.75" customHeight="1">
      <c r="A25" s="127" t="s">
        <v>366</v>
      </c>
      <c r="B25" s="127" t="s">
        <v>357</v>
      </c>
      <c r="C25" s="142">
        <f>SUM(C6:C24)</f>
        <v>0</v>
      </c>
      <c r="D25" s="142">
        <f>SUM(D6:D24)</f>
        <v>0</v>
      </c>
      <c r="E25" s="142">
        <f>SUM(E6:E24)</f>
        <v>0</v>
      </c>
      <c r="F25" s="142">
        <f>SUM(F6:F24)</f>
        <v>0</v>
      </c>
      <c r="G25" s="155" t="str">
        <f>IF(D25=0,"",F25/D25*100)</f>
        <v/>
      </c>
    </row>
    <row r="26" spans="1:7" ht="15.75" customHeight="1">
      <c r="A26" s="127" t="s">
        <v>366</v>
      </c>
      <c r="B26" s="127" t="s">
        <v>358</v>
      </c>
      <c r="C26" s="142"/>
      <c r="D26" s="142">
        <f>C26</f>
        <v>0</v>
      </c>
      <c r="E26" s="142">
        <v>0</v>
      </c>
      <c r="F26" s="142">
        <f>E26-D26</f>
        <v>0</v>
      </c>
      <c r="G26" s="155" t="str">
        <f>IF(D26=0,"",F26/D26*100)</f>
        <v/>
      </c>
    </row>
    <row r="27" spans="1:7" ht="15.75" customHeight="1">
      <c r="A27" s="127" t="s">
        <v>366</v>
      </c>
      <c r="B27" s="127" t="s">
        <v>359</v>
      </c>
      <c r="C27" s="142">
        <f>C25-C26</f>
        <v>0</v>
      </c>
      <c r="D27" s="142">
        <f>D25-D26</f>
        <v>0</v>
      </c>
      <c r="E27" s="142">
        <f>E25-E26</f>
        <v>0</v>
      </c>
      <c r="F27" s="142">
        <f>F25-F26</f>
        <v>0</v>
      </c>
      <c r="G27" s="155" t="str">
        <f>IF(D27=0,"",F27/D27*100)</f>
        <v/>
      </c>
    </row>
    <row r="28" spans="1:7" ht="15.75" customHeight="1">
      <c r="A28" s="101" t="e">
        <f>#REF!&amp;#REF!</f>
        <v>#REF!</v>
      </c>
      <c r="E28" s="4" t="e">
        <f>"评估人员："&amp;#REF!</f>
        <v>#REF!</v>
      </c>
    </row>
    <row r="29" spans="1:7" ht="15.75" customHeight="1">
      <c r="A29" s="101" t="e">
        <f>CONCATENATE(#REF!,#REF!,#REF!,#REF!,#REF!,#REF!,#REF!)</f>
        <v>#REF!</v>
      </c>
    </row>
  </sheetData>
  <mergeCells count="2">
    <mergeCell ref="A2:G2"/>
    <mergeCell ref="A3:G3"/>
  </mergeCells>
  <phoneticPr fontId="6" type="noConversion"/>
  <hyperlinks>
    <hyperlink ref="A1" location="索引目录!D18" display="存货"/>
    <hyperlink ref="B7" location="原材料!A1" display="原材料"/>
    <hyperlink ref="B6" location="'材料采购（在途物资）'!A1" display="材料采购"/>
    <hyperlink ref="B8" location="在库周转材料!B1" display="返回"/>
    <hyperlink ref="B9" location="委托加工物资!B1" display="返回"/>
    <hyperlink ref="B10" location="'产成品（库存商品）'!A1" display="产成品（库存商品)"/>
    <hyperlink ref="B11" location="'在产品（自制半成品）'!A1" display="在产品（自制半成品)"/>
    <hyperlink ref="B1" location="流动汇总!B14" display="存货"/>
    <hyperlink ref="B12" location="发出商品!B1" display="返回"/>
    <hyperlink ref="B13" location="在用周转材料!B1" display="返回"/>
  </hyperlinks>
  <printOptions horizontalCentered="1"/>
  <pageMargins left="0.35433070866141736" right="0.35433070866141736" top="0.78740157480314965" bottom="0.78740157480314965" header="1.05" footer="0.51181102362204722"/>
  <pageSetup paperSize="9" scale="95" fitToHeight="0" orientation="landscape" horizontalDpi="4294967292" r:id="rId1"/>
  <headerFooter alignWithMargins="0">
    <oddHeader>&amp;R&amp;"宋体,常规"&amp;10表&amp;"Times New Roman,常规"3-9
&amp;"宋体,常规"共&amp;"Times New Roman,常规"&amp;N&amp;"宋体,常规"页第&amp;"Times New Roman,常规"&amp;P&amp;"宋体,常规"页</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Q29"/>
  <sheetViews>
    <sheetView workbookViewId="0">
      <selection activeCell="H10" sqref="H10"/>
    </sheetView>
  </sheetViews>
  <sheetFormatPr defaultRowHeight="15.75" customHeight="1" outlineLevelCol="1"/>
  <cols>
    <col min="1" max="1" width="5.5" style="4" customWidth="1"/>
    <col min="2" max="2" width="10.75" style="4" customWidth="1"/>
    <col min="3" max="3" width="13.125" style="4" customWidth="1"/>
    <col min="4" max="4" width="5.375" style="4" customWidth="1"/>
    <col min="5" max="5" width="9.625" style="4" customWidth="1" outlineLevel="1"/>
    <col min="6" max="6" width="7.625" style="4" customWidth="1" outlineLevel="1"/>
    <col min="7" max="7" width="16.125" style="4" customWidth="1" outlineLevel="1"/>
    <col min="8" max="8" width="16.75" style="4" customWidth="1" outlineLevel="1"/>
    <col min="9" max="9" width="9.625" style="4" customWidth="1" outlineLevel="1"/>
    <col min="10" max="10" width="10.875" style="4" customWidth="1"/>
    <col min="11" max="11" width="10.375" style="4" customWidth="1"/>
    <col min="12" max="12" width="13.125" style="4" customWidth="1"/>
    <col min="13" max="13" width="9.625" style="4" customWidth="1"/>
    <col min="14" max="14" width="8.625" style="4" customWidth="1"/>
    <col min="15" max="15" width="12.625" style="4" customWidth="1"/>
    <col min="16" max="16" width="7" style="4" customWidth="1"/>
    <col min="17" max="17" width="13.125" style="4" customWidth="1"/>
    <col min="18" max="16384" width="9" style="4"/>
  </cols>
  <sheetData>
    <row r="1" spans="1:17" ht="12.75">
      <c r="A1" s="195" t="s">
        <v>130</v>
      </c>
      <c r="B1" s="196" t="s">
        <v>132</v>
      </c>
      <c r="C1" s="196"/>
      <c r="D1" s="1"/>
      <c r="E1" s="1"/>
      <c r="F1" s="1"/>
      <c r="G1" s="1"/>
      <c r="H1" s="1"/>
      <c r="I1" s="1"/>
      <c r="J1" s="1"/>
      <c r="K1" s="1"/>
      <c r="L1" s="1"/>
      <c r="M1" s="1"/>
      <c r="N1" s="1"/>
      <c r="O1" s="1"/>
      <c r="P1" s="1"/>
      <c r="Q1" s="1"/>
    </row>
    <row r="2" spans="1:17" s="114" customFormat="1" ht="30" customHeight="1">
      <c r="A2" s="790" t="s">
        <v>901</v>
      </c>
      <c r="B2" s="791"/>
      <c r="C2" s="791"/>
      <c r="D2" s="791"/>
      <c r="E2" s="791"/>
      <c r="F2" s="791"/>
      <c r="G2" s="791"/>
      <c r="H2" s="791"/>
      <c r="I2" s="791"/>
      <c r="J2" s="791"/>
      <c r="K2" s="791"/>
      <c r="L2" s="791"/>
      <c r="M2" s="791"/>
      <c r="N2" s="791"/>
      <c r="O2" s="791"/>
      <c r="P2" s="791"/>
      <c r="Q2" s="791"/>
    </row>
    <row r="3" spans="1:17" ht="14.1" customHeight="1">
      <c r="A3" s="792" t="e">
        <f>CONCATENATE(#REF!,#REF!,#REF!,#REF!,#REF!,#REF!,#REF!)</f>
        <v>#REF!</v>
      </c>
      <c r="B3" s="792"/>
      <c r="C3" s="792"/>
      <c r="D3" s="792"/>
      <c r="E3" s="792"/>
      <c r="F3" s="792"/>
      <c r="G3" s="792"/>
      <c r="H3" s="792"/>
      <c r="I3" s="792"/>
      <c r="J3" s="792"/>
      <c r="K3" s="792"/>
      <c r="L3" s="808"/>
      <c r="M3" s="808"/>
      <c r="N3" s="808"/>
      <c r="O3" s="808"/>
      <c r="P3" s="808"/>
      <c r="Q3" s="808"/>
    </row>
    <row r="4" spans="1:17" ht="15.75" customHeight="1">
      <c r="A4" s="115" t="e">
        <f>#REF!&amp;#REF!</f>
        <v>#REF!</v>
      </c>
      <c r="Q4" s="106" t="s">
        <v>3</v>
      </c>
    </row>
    <row r="5" spans="1:17" s="1" customFormat="1" ht="15.75" customHeight="1">
      <c r="A5" s="815" t="s">
        <v>4</v>
      </c>
      <c r="B5" s="815" t="s">
        <v>931</v>
      </c>
      <c r="C5" s="815" t="s">
        <v>930</v>
      </c>
      <c r="D5" s="817" t="s">
        <v>267</v>
      </c>
      <c r="E5" s="821" t="s">
        <v>426</v>
      </c>
      <c r="F5" s="822"/>
      <c r="G5" s="822"/>
      <c r="H5" s="823"/>
      <c r="I5" s="819" t="s">
        <v>713</v>
      </c>
      <c r="J5" s="821" t="s">
        <v>315</v>
      </c>
      <c r="K5" s="822"/>
      <c r="L5" s="823"/>
      <c r="M5" s="821" t="s">
        <v>0</v>
      </c>
      <c r="N5" s="822"/>
      <c r="O5" s="823"/>
      <c r="P5" s="815" t="s">
        <v>20</v>
      </c>
      <c r="Q5" s="815" t="s">
        <v>72</v>
      </c>
    </row>
    <row r="6" spans="1:17" s="116" customFormat="1" ht="15.75" customHeight="1">
      <c r="A6" s="816"/>
      <c r="B6" s="816"/>
      <c r="C6" s="816"/>
      <c r="D6" s="818"/>
      <c r="E6" s="373" t="s">
        <v>87</v>
      </c>
      <c r="F6" s="373" t="s">
        <v>264</v>
      </c>
      <c r="G6" s="384" t="s">
        <v>942</v>
      </c>
      <c r="H6" s="385" t="s">
        <v>944</v>
      </c>
      <c r="I6" s="820"/>
      <c r="J6" s="102" t="s">
        <v>87</v>
      </c>
      <c r="K6" s="102" t="s">
        <v>264</v>
      </c>
      <c r="L6" s="102" t="s">
        <v>71</v>
      </c>
      <c r="M6" s="316" t="s">
        <v>262</v>
      </c>
      <c r="N6" s="102" t="s">
        <v>264</v>
      </c>
      <c r="O6" s="102" t="s">
        <v>71</v>
      </c>
      <c r="P6" s="816"/>
      <c r="Q6" s="816"/>
    </row>
    <row r="7" spans="1:17" ht="15.75" customHeight="1">
      <c r="A7" s="127"/>
      <c r="B7" s="131"/>
      <c r="C7" s="374"/>
      <c r="D7" s="134"/>
      <c r="E7" s="279"/>
      <c r="F7" s="142" t="str">
        <f>IF(E7=0,"",G7/E7)</f>
        <v/>
      </c>
      <c r="G7" s="160"/>
      <c r="H7" s="160"/>
      <c r="I7" s="160"/>
      <c r="J7" s="160"/>
      <c r="K7" s="160"/>
      <c r="L7" s="142"/>
      <c r="M7" s="162"/>
      <c r="N7" s="142"/>
      <c r="O7" s="142"/>
      <c r="P7" s="142" t="str">
        <f>IF(L7=0,"",(O7-L7)/L7*100)</f>
        <v/>
      </c>
      <c r="Q7" s="120"/>
    </row>
    <row r="8" spans="1:17" ht="15.75" customHeight="1">
      <c r="A8" s="127"/>
      <c r="B8" s="131"/>
      <c r="C8" s="374"/>
      <c r="D8" s="134"/>
      <c r="E8" s="279"/>
      <c r="F8" s="142" t="str">
        <f t="shared" ref="F8:F24" si="0">IF(E8=0,"",G8/E8)</f>
        <v/>
      </c>
      <c r="G8" s="160"/>
      <c r="H8" s="160"/>
      <c r="I8" s="160"/>
      <c r="J8" s="160"/>
      <c r="K8" s="160"/>
      <c r="L8" s="142"/>
      <c r="M8" s="162"/>
      <c r="N8" s="142"/>
      <c r="O8" s="142"/>
      <c r="P8" s="142" t="str">
        <f t="shared" ref="P8:P25" si="1">IF(L8=0,"",(O8-L8)/L8*100)</f>
        <v/>
      </c>
      <c r="Q8" s="120"/>
    </row>
    <row r="9" spans="1:17" ht="15.75" customHeight="1">
      <c r="A9" s="127"/>
      <c r="B9" s="131"/>
      <c r="C9" s="374"/>
      <c r="D9" s="134"/>
      <c r="E9" s="279"/>
      <c r="F9" s="142" t="str">
        <f t="shared" si="0"/>
        <v/>
      </c>
      <c r="G9" s="160"/>
      <c r="H9" s="160"/>
      <c r="I9" s="160"/>
      <c r="J9" s="160"/>
      <c r="K9" s="160"/>
      <c r="L9" s="142"/>
      <c r="M9" s="162"/>
      <c r="N9" s="142"/>
      <c r="O9" s="142"/>
      <c r="P9" s="142" t="str">
        <f t="shared" si="1"/>
        <v/>
      </c>
      <c r="Q9" s="120"/>
    </row>
    <row r="10" spans="1:17" ht="15.75" customHeight="1">
      <c r="A10" s="127"/>
      <c r="B10" s="131"/>
      <c r="C10" s="374"/>
      <c r="D10" s="134"/>
      <c r="E10" s="279"/>
      <c r="F10" s="142" t="str">
        <f t="shared" si="0"/>
        <v/>
      </c>
      <c r="G10" s="160"/>
      <c r="H10" s="160"/>
      <c r="I10" s="160"/>
      <c r="J10" s="160"/>
      <c r="K10" s="160"/>
      <c r="L10" s="142"/>
      <c r="M10" s="162"/>
      <c r="N10" s="142"/>
      <c r="O10" s="142"/>
      <c r="P10" s="142" t="str">
        <f t="shared" si="1"/>
        <v/>
      </c>
      <c r="Q10" s="120"/>
    </row>
    <row r="11" spans="1:17" ht="15.75" customHeight="1">
      <c r="A11" s="127"/>
      <c r="B11" s="131"/>
      <c r="C11" s="374"/>
      <c r="D11" s="134"/>
      <c r="E11" s="279"/>
      <c r="F11" s="142" t="str">
        <f t="shared" si="0"/>
        <v/>
      </c>
      <c r="G11" s="160"/>
      <c r="H11" s="160"/>
      <c r="I11" s="160"/>
      <c r="J11" s="160"/>
      <c r="K11" s="160"/>
      <c r="L11" s="142"/>
      <c r="M11" s="162"/>
      <c r="N11" s="142"/>
      <c r="O11" s="142"/>
      <c r="P11" s="142" t="str">
        <f t="shared" si="1"/>
        <v/>
      </c>
      <c r="Q11" s="120"/>
    </row>
    <row r="12" spans="1:17" ht="15.75" customHeight="1">
      <c r="A12" s="127"/>
      <c r="B12" s="131"/>
      <c r="C12" s="374"/>
      <c r="D12" s="134"/>
      <c r="E12" s="279"/>
      <c r="F12" s="142" t="str">
        <f t="shared" si="0"/>
        <v/>
      </c>
      <c r="G12" s="160"/>
      <c r="H12" s="160"/>
      <c r="I12" s="160"/>
      <c r="J12" s="160"/>
      <c r="K12" s="160"/>
      <c r="L12" s="142"/>
      <c r="M12" s="162"/>
      <c r="N12" s="142"/>
      <c r="O12" s="142"/>
      <c r="P12" s="142" t="str">
        <f t="shared" si="1"/>
        <v/>
      </c>
      <c r="Q12" s="120"/>
    </row>
    <row r="13" spans="1:17" ht="15.75" customHeight="1">
      <c r="A13" s="127"/>
      <c r="B13" s="131"/>
      <c r="C13" s="374"/>
      <c r="D13" s="134"/>
      <c r="E13" s="279"/>
      <c r="F13" s="142" t="str">
        <f t="shared" si="0"/>
        <v/>
      </c>
      <c r="G13" s="160"/>
      <c r="H13" s="160"/>
      <c r="I13" s="160"/>
      <c r="J13" s="160"/>
      <c r="K13" s="160"/>
      <c r="L13" s="142"/>
      <c r="M13" s="162"/>
      <c r="N13" s="142"/>
      <c r="O13" s="142"/>
      <c r="P13" s="142" t="str">
        <f t="shared" si="1"/>
        <v/>
      </c>
      <c r="Q13" s="120"/>
    </row>
    <row r="14" spans="1:17" ht="15.75" customHeight="1">
      <c r="A14" s="127"/>
      <c r="B14" s="131"/>
      <c r="C14" s="374"/>
      <c r="D14" s="134"/>
      <c r="E14" s="279"/>
      <c r="F14" s="142" t="str">
        <f t="shared" si="0"/>
        <v/>
      </c>
      <c r="G14" s="160"/>
      <c r="H14" s="160"/>
      <c r="I14" s="160"/>
      <c r="J14" s="160"/>
      <c r="K14" s="160"/>
      <c r="L14" s="142"/>
      <c r="M14" s="162"/>
      <c r="N14" s="142"/>
      <c r="O14" s="142"/>
      <c r="P14" s="142" t="str">
        <f t="shared" si="1"/>
        <v/>
      </c>
      <c r="Q14" s="120"/>
    </row>
    <row r="15" spans="1:17" ht="15.75" customHeight="1">
      <c r="A15" s="127"/>
      <c r="B15" s="131"/>
      <c r="C15" s="374"/>
      <c r="D15" s="134"/>
      <c r="E15" s="279"/>
      <c r="F15" s="142" t="str">
        <f t="shared" si="0"/>
        <v/>
      </c>
      <c r="G15" s="160"/>
      <c r="H15" s="160"/>
      <c r="I15" s="160"/>
      <c r="J15" s="160"/>
      <c r="K15" s="160"/>
      <c r="L15" s="142"/>
      <c r="M15" s="162"/>
      <c r="N15" s="142"/>
      <c r="O15" s="142"/>
      <c r="P15" s="142" t="str">
        <f t="shared" si="1"/>
        <v/>
      </c>
      <c r="Q15" s="120"/>
    </row>
    <row r="16" spans="1:17" ht="15.75" customHeight="1">
      <c r="A16" s="127"/>
      <c r="B16" s="131"/>
      <c r="C16" s="374"/>
      <c r="D16" s="134"/>
      <c r="E16" s="279"/>
      <c r="F16" s="142" t="str">
        <f t="shared" si="0"/>
        <v/>
      </c>
      <c r="G16" s="160"/>
      <c r="H16" s="160"/>
      <c r="I16" s="160"/>
      <c r="J16" s="160"/>
      <c r="K16" s="160"/>
      <c r="L16" s="142"/>
      <c r="M16" s="162"/>
      <c r="N16" s="142"/>
      <c r="O16" s="142"/>
      <c r="P16" s="142" t="str">
        <f t="shared" si="1"/>
        <v/>
      </c>
      <c r="Q16" s="120"/>
    </row>
    <row r="17" spans="1:17" ht="15.75" customHeight="1">
      <c r="A17" s="127"/>
      <c r="B17" s="131"/>
      <c r="C17" s="374"/>
      <c r="D17" s="134"/>
      <c r="E17" s="279"/>
      <c r="F17" s="142" t="str">
        <f t="shared" si="0"/>
        <v/>
      </c>
      <c r="G17" s="160"/>
      <c r="H17" s="160"/>
      <c r="I17" s="160"/>
      <c r="J17" s="160"/>
      <c r="K17" s="160"/>
      <c r="L17" s="142"/>
      <c r="M17" s="162"/>
      <c r="N17" s="142"/>
      <c r="O17" s="142"/>
      <c r="P17" s="142" t="str">
        <f t="shared" si="1"/>
        <v/>
      </c>
      <c r="Q17" s="120"/>
    </row>
    <row r="18" spans="1:17" ht="15.75" customHeight="1">
      <c r="A18" s="127"/>
      <c r="B18" s="131"/>
      <c r="C18" s="374"/>
      <c r="D18" s="134"/>
      <c r="E18" s="279"/>
      <c r="F18" s="142" t="str">
        <f t="shared" si="0"/>
        <v/>
      </c>
      <c r="G18" s="160"/>
      <c r="H18" s="160"/>
      <c r="I18" s="160"/>
      <c r="J18" s="160"/>
      <c r="K18" s="160"/>
      <c r="L18" s="142"/>
      <c r="M18" s="162"/>
      <c r="N18" s="142"/>
      <c r="O18" s="142"/>
      <c r="P18" s="142" t="str">
        <f t="shared" si="1"/>
        <v/>
      </c>
      <c r="Q18" s="120"/>
    </row>
    <row r="19" spans="1:17" ht="15.75" customHeight="1">
      <c r="A19" s="127"/>
      <c r="B19" s="131"/>
      <c r="C19" s="374"/>
      <c r="D19" s="134"/>
      <c r="E19" s="279"/>
      <c r="F19" s="142" t="str">
        <f t="shared" si="0"/>
        <v/>
      </c>
      <c r="G19" s="160"/>
      <c r="H19" s="160"/>
      <c r="I19" s="160"/>
      <c r="J19" s="160"/>
      <c r="K19" s="160"/>
      <c r="L19" s="142"/>
      <c r="M19" s="162"/>
      <c r="N19" s="142"/>
      <c r="O19" s="142"/>
      <c r="P19" s="142" t="str">
        <f t="shared" si="1"/>
        <v/>
      </c>
      <c r="Q19" s="120"/>
    </row>
    <row r="20" spans="1:17" ht="15.75" customHeight="1">
      <c r="A20" s="127"/>
      <c r="B20" s="131"/>
      <c r="C20" s="374"/>
      <c r="D20" s="134"/>
      <c r="E20" s="279"/>
      <c r="F20" s="142" t="str">
        <f t="shared" si="0"/>
        <v/>
      </c>
      <c r="G20" s="160"/>
      <c r="H20" s="160"/>
      <c r="I20" s="160"/>
      <c r="J20" s="160"/>
      <c r="K20" s="160"/>
      <c r="L20" s="142"/>
      <c r="M20" s="162"/>
      <c r="N20" s="142"/>
      <c r="O20" s="142"/>
      <c r="P20" s="142" t="str">
        <f t="shared" si="1"/>
        <v/>
      </c>
      <c r="Q20" s="120"/>
    </row>
    <row r="21" spans="1:17" ht="15.75" customHeight="1">
      <c r="A21" s="127"/>
      <c r="B21" s="131"/>
      <c r="C21" s="374"/>
      <c r="D21" s="134"/>
      <c r="E21" s="279"/>
      <c r="F21" s="142" t="str">
        <f t="shared" si="0"/>
        <v/>
      </c>
      <c r="G21" s="160"/>
      <c r="H21" s="160"/>
      <c r="I21" s="160"/>
      <c r="J21" s="160"/>
      <c r="K21" s="160"/>
      <c r="L21" s="142"/>
      <c r="M21" s="162"/>
      <c r="N21" s="142"/>
      <c r="O21" s="142"/>
      <c r="P21" s="142" t="str">
        <f t="shared" si="1"/>
        <v/>
      </c>
      <c r="Q21" s="120"/>
    </row>
    <row r="22" spans="1:17" ht="15.75" customHeight="1">
      <c r="A22" s="127"/>
      <c r="B22" s="131"/>
      <c r="C22" s="374"/>
      <c r="D22" s="134"/>
      <c r="E22" s="279"/>
      <c r="F22" s="142" t="str">
        <f t="shared" si="0"/>
        <v/>
      </c>
      <c r="G22" s="160"/>
      <c r="H22" s="160"/>
      <c r="I22" s="160"/>
      <c r="J22" s="160"/>
      <c r="K22" s="160"/>
      <c r="L22" s="142"/>
      <c r="M22" s="162"/>
      <c r="N22" s="142"/>
      <c r="O22" s="142"/>
      <c r="P22" s="142" t="str">
        <f t="shared" si="1"/>
        <v/>
      </c>
      <c r="Q22" s="120"/>
    </row>
    <row r="23" spans="1:17" ht="15.75" customHeight="1">
      <c r="A23" s="127"/>
      <c r="B23" s="131"/>
      <c r="C23" s="374"/>
      <c r="D23" s="134"/>
      <c r="E23" s="279"/>
      <c r="F23" s="142" t="str">
        <f t="shared" si="0"/>
        <v/>
      </c>
      <c r="G23" s="160"/>
      <c r="H23" s="160"/>
      <c r="I23" s="160"/>
      <c r="J23" s="160"/>
      <c r="K23" s="160"/>
      <c r="L23" s="142"/>
      <c r="M23" s="162"/>
      <c r="N23" s="142"/>
      <c r="O23" s="142"/>
      <c r="P23" s="142" t="str">
        <f t="shared" si="1"/>
        <v/>
      </c>
      <c r="Q23" s="120"/>
    </row>
    <row r="24" spans="1:17" ht="15.75" customHeight="1">
      <c r="A24" s="127"/>
      <c r="B24" s="131"/>
      <c r="C24" s="374"/>
      <c r="D24" s="134"/>
      <c r="E24" s="279"/>
      <c r="F24" s="142" t="str">
        <f t="shared" si="0"/>
        <v/>
      </c>
      <c r="G24" s="160"/>
      <c r="H24" s="160"/>
      <c r="I24" s="160"/>
      <c r="J24" s="160"/>
      <c r="K24" s="160"/>
      <c r="L24" s="142"/>
      <c r="M24" s="162"/>
      <c r="N24" s="142"/>
      <c r="O24" s="142"/>
      <c r="P24" s="142" t="str">
        <f t="shared" si="1"/>
        <v/>
      </c>
      <c r="Q24" s="120"/>
    </row>
    <row r="25" spans="1:17" ht="15.75" customHeight="1">
      <c r="A25" s="127"/>
      <c r="B25" s="131"/>
      <c r="C25" s="374"/>
      <c r="D25" s="134"/>
      <c r="E25" s="279"/>
      <c r="F25" s="142" t="str">
        <f>IF(E25=0,"",G25/E25)</f>
        <v/>
      </c>
      <c r="G25" s="160"/>
      <c r="H25" s="160"/>
      <c r="I25" s="160"/>
      <c r="J25" s="160"/>
      <c r="K25" s="160"/>
      <c r="L25" s="142"/>
      <c r="M25" s="162"/>
      <c r="N25" s="142"/>
      <c r="O25" s="142"/>
      <c r="P25" s="142" t="str">
        <f t="shared" si="1"/>
        <v/>
      </c>
      <c r="Q25" s="120"/>
    </row>
    <row r="26" spans="1:17" ht="15.75" customHeight="1">
      <c r="A26" s="120"/>
      <c r="B26" s="120"/>
      <c r="C26" s="120"/>
      <c r="D26" s="120"/>
      <c r="E26" s="117"/>
      <c r="F26" s="161"/>
      <c r="G26" s="117"/>
      <c r="H26" s="117"/>
      <c r="I26" s="117"/>
      <c r="J26" s="117"/>
      <c r="K26" s="117"/>
      <c r="L26" s="117"/>
      <c r="M26" s="120"/>
      <c r="N26" s="120"/>
      <c r="O26" s="117"/>
      <c r="P26" s="120"/>
      <c r="Q26" s="120"/>
    </row>
    <row r="27" spans="1:17" ht="15.75" customHeight="1">
      <c r="A27" s="809" t="s">
        <v>54</v>
      </c>
      <c r="B27" s="810"/>
      <c r="C27" s="110"/>
      <c r="D27" s="120"/>
      <c r="E27" s="162"/>
      <c r="F27" s="142"/>
      <c r="G27" s="142">
        <f>SUM(G7:G26)</f>
        <v>0</v>
      </c>
      <c r="H27" s="142"/>
      <c r="I27" s="142"/>
      <c r="J27" s="142"/>
      <c r="K27" s="142"/>
      <c r="L27" s="142">
        <f>SUM(L7:L26)</f>
        <v>0</v>
      </c>
      <c r="M27" s="162"/>
      <c r="N27" s="142"/>
      <c r="O27" s="142">
        <f>SUM(O7:O26)</f>
        <v>0</v>
      </c>
      <c r="P27" s="142" t="str">
        <f>IF(L27=0,"",(O27-L27)/L27*100)</f>
        <v/>
      </c>
      <c r="Q27" s="120"/>
    </row>
    <row r="28" spans="1:17" ht="15.75" customHeight="1">
      <c r="A28" s="101" t="e">
        <f>#REF!&amp;#REF!</f>
        <v>#REF!</v>
      </c>
      <c r="E28" s="115"/>
      <c r="F28" s="115"/>
      <c r="L28" s="115" t="e">
        <f>"评估人员："&amp;#REF!</f>
        <v>#REF!</v>
      </c>
    </row>
    <row r="29" spans="1:17" ht="15.75" customHeight="1">
      <c r="A29" s="101" t="e">
        <f>CONCATENATE(#REF!,#REF!,#REF!,#REF!,#REF!,#REF!,#REF!)</f>
        <v>#REF!</v>
      </c>
    </row>
  </sheetData>
  <mergeCells count="13">
    <mergeCell ref="A27:B27"/>
    <mergeCell ref="I5:I6"/>
    <mergeCell ref="J5:L5"/>
    <mergeCell ref="M5:O5"/>
    <mergeCell ref="C5:C6"/>
    <mergeCell ref="E5:H5"/>
    <mergeCell ref="A2:Q2"/>
    <mergeCell ref="A5:A6"/>
    <mergeCell ref="B5:B6"/>
    <mergeCell ref="A3:Q3"/>
    <mergeCell ref="D5:D6"/>
    <mergeCell ref="P5:P6"/>
    <mergeCell ref="Q5:Q6"/>
  </mergeCells>
  <phoneticPr fontId="6" type="noConversion"/>
  <hyperlinks>
    <hyperlink ref="A1" location="索引目录!E18" display="材料采购（在途物资）"/>
    <hyperlink ref="B1" location="存货汇总!B6" display="材料采购（在途物资）"/>
  </hyperlinks>
  <printOptions horizontalCentered="1"/>
  <pageMargins left="0.35433070866141736" right="0.35433070866141736" top="0.78740157480314965" bottom="0.78740157480314965" header="1.02" footer="0.51181102362204722"/>
  <pageSetup paperSize="9" scale="73" fitToHeight="0" orientation="landscape" horizontalDpi="4294967292" r:id="rId1"/>
  <headerFooter alignWithMargins="0">
    <oddHeader>&amp;R&amp;"宋体,常规"&amp;10表&amp;"Times New Roman,常规"3-9-1
&amp;"宋体,常规"共&amp;"Times New Roman,常规"&amp;N&amp;"宋体,常规"页第&amp;"Times New Roman,常规"&amp;P&amp;"宋体,常规"页</oddHead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pageSetUpPr fitToPage="1"/>
  </sheetPr>
  <dimension ref="A1:R31"/>
  <sheetViews>
    <sheetView workbookViewId="0">
      <selection activeCell="H10" sqref="H10"/>
    </sheetView>
  </sheetViews>
  <sheetFormatPr defaultRowHeight="15.75" customHeight="1" outlineLevelCol="1"/>
  <cols>
    <col min="1" max="1" width="4.75" style="116" customWidth="1"/>
    <col min="2" max="2" width="14.375" style="4" customWidth="1"/>
    <col min="3" max="3" width="15.875" style="4" customWidth="1"/>
    <col min="4" max="4" width="4.5" style="4" customWidth="1"/>
    <col min="5" max="5" width="10.375" style="133" customWidth="1" outlineLevel="1"/>
    <col min="6" max="6" width="8.375" style="133" customWidth="1" outlineLevel="1"/>
    <col min="7" max="9" width="14.125" style="133" customWidth="1" outlineLevel="1"/>
    <col min="10" max="11" width="14.125" style="133" customWidth="1"/>
    <col min="12" max="12" width="13.25" style="4" customWidth="1"/>
    <col min="13" max="13" width="9.375" style="4" customWidth="1"/>
    <col min="14" max="14" width="9.625" style="4" bestFit="1" customWidth="1"/>
    <col min="15" max="15" width="12.5" style="4" customWidth="1"/>
    <col min="16" max="16" width="7.75" style="4" bestFit="1" customWidth="1"/>
    <col min="17" max="17" width="11.625" style="4" customWidth="1"/>
    <col min="18" max="18" width="9.625" style="4" customWidth="1"/>
    <col min="19" max="16384" width="9" style="4"/>
  </cols>
  <sheetData>
    <row r="1" spans="1:18" ht="14.25">
      <c r="A1" s="272" t="s">
        <v>130</v>
      </c>
      <c r="B1" s="196" t="s">
        <v>132</v>
      </c>
      <c r="C1" s="196"/>
      <c r="D1" s="1"/>
      <c r="E1" s="1"/>
      <c r="F1" s="1"/>
      <c r="G1" s="1"/>
      <c r="H1" s="1"/>
      <c r="I1" s="1"/>
      <c r="J1" s="1"/>
      <c r="K1" s="1"/>
      <c r="L1" s="1"/>
      <c r="M1" s="1"/>
      <c r="N1" s="1"/>
      <c r="O1" s="1"/>
      <c r="P1" s="1"/>
      <c r="Q1" s="1"/>
      <c r="R1" s="1"/>
    </row>
    <row r="2" spans="1:18" s="114" customFormat="1" ht="30" customHeight="1">
      <c r="A2" s="790" t="s">
        <v>900</v>
      </c>
      <c r="B2" s="790"/>
      <c r="C2" s="790"/>
      <c r="D2" s="790"/>
      <c r="E2" s="790"/>
      <c r="F2" s="790"/>
      <c r="G2" s="790"/>
      <c r="H2" s="790"/>
      <c r="I2" s="790"/>
      <c r="J2" s="790"/>
      <c r="K2" s="790"/>
      <c r="L2" s="790"/>
      <c r="M2" s="790"/>
      <c r="N2" s="790"/>
      <c r="O2" s="790"/>
      <c r="P2" s="790"/>
      <c r="Q2" s="790"/>
      <c r="R2" s="159"/>
    </row>
    <row r="3" spans="1:18" ht="14.1" customHeight="1">
      <c r="A3" s="792" t="e">
        <f>CONCATENATE(#REF!,#REF!,#REF!,#REF!,#REF!,#REF!,#REF!)</f>
        <v>#REF!</v>
      </c>
      <c r="B3" s="792"/>
      <c r="C3" s="792"/>
      <c r="D3" s="792"/>
      <c r="E3" s="792"/>
      <c r="F3" s="792"/>
      <c r="G3" s="792"/>
      <c r="H3" s="792"/>
      <c r="I3" s="792"/>
      <c r="J3" s="792"/>
      <c r="K3" s="792"/>
      <c r="L3" s="792"/>
      <c r="M3" s="792"/>
      <c r="N3" s="792"/>
      <c r="O3" s="792"/>
      <c r="P3" s="792"/>
      <c r="Q3" s="792"/>
      <c r="R3" s="129"/>
    </row>
    <row r="4" spans="1:18" ht="15.75" customHeight="1">
      <c r="A4" s="115" t="e">
        <f>#REF!&amp;#REF!</f>
        <v>#REF!</v>
      </c>
      <c r="Q4" s="106" t="s">
        <v>3</v>
      </c>
    </row>
    <row r="5" spans="1:18" s="1" customFormat="1" ht="15.75" customHeight="1">
      <c r="A5" s="815" t="s">
        <v>4</v>
      </c>
      <c r="B5" s="815" t="s">
        <v>931</v>
      </c>
      <c r="C5" s="815" t="s">
        <v>932</v>
      </c>
      <c r="D5" s="817" t="s">
        <v>267</v>
      </c>
      <c r="E5" s="821" t="s">
        <v>426</v>
      </c>
      <c r="F5" s="822"/>
      <c r="G5" s="822"/>
      <c r="H5" s="823"/>
      <c r="I5" s="819" t="s">
        <v>714</v>
      </c>
      <c r="J5" s="824" t="s">
        <v>315</v>
      </c>
      <c r="K5" s="825"/>
      <c r="L5" s="826"/>
      <c r="M5" s="821" t="s">
        <v>0</v>
      </c>
      <c r="N5" s="822"/>
      <c r="O5" s="823"/>
      <c r="P5" s="815" t="s">
        <v>20</v>
      </c>
      <c r="Q5" s="815" t="s">
        <v>72</v>
      </c>
      <c r="R5" s="815" t="s">
        <v>294</v>
      </c>
    </row>
    <row r="6" spans="1:18" s="116" customFormat="1" ht="15.75" customHeight="1">
      <c r="A6" s="816"/>
      <c r="B6" s="816"/>
      <c r="C6" s="816"/>
      <c r="D6" s="818"/>
      <c r="E6" s="373" t="s">
        <v>87</v>
      </c>
      <c r="F6" s="373" t="s">
        <v>264</v>
      </c>
      <c r="G6" s="384" t="s">
        <v>942</v>
      </c>
      <c r="H6" s="385" t="s">
        <v>943</v>
      </c>
      <c r="I6" s="820"/>
      <c r="J6" s="102" t="s">
        <v>87</v>
      </c>
      <c r="K6" s="102" t="s">
        <v>264</v>
      </c>
      <c r="L6" s="102" t="s">
        <v>71</v>
      </c>
      <c r="M6" s="315" t="s">
        <v>262</v>
      </c>
      <c r="N6" s="102" t="s">
        <v>264</v>
      </c>
      <c r="O6" s="102" t="s">
        <v>71</v>
      </c>
      <c r="P6" s="816"/>
      <c r="Q6" s="816"/>
      <c r="R6" s="816"/>
    </row>
    <row r="7" spans="1:18" s="135" customFormat="1" ht="15.75" customHeight="1">
      <c r="A7" s="127"/>
      <c r="B7" s="131"/>
      <c r="C7" s="374"/>
      <c r="D7" s="134"/>
      <c r="E7" s="279"/>
      <c r="F7" s="142" t="str">
        <f>IF(E7=0,"",G7/E7)</f>
        <v/>
      </c>
      <c r="G7" s="160"/>
      <c r="H7" s="160"/>
      <c r="I7" s="160"/>
      <c r="J7" s="160"/>
      <c r="K7" s="160"/>
      <c r="L7" s="142"/>
      <c r="M7" s="162"/>
      <c r="N7" s="142"/>
      <c r="O7" s="142"/>
      <c r="P7" s="142" t="str">
        <f>IF(L7=0,"",(O7-L7)/L7*100)</f>
        <v/>
      </c>
      <c r="Q7" s="120"/>
      <c r="R7" s="127"/>
    </row>
    <row r="8" spans="1:18" ht="15.75" customHeight="1">
      <c r="A8" s="105"/>
      <c r="B8" s="111"/>
      <c r="C8" s="111"/>
      <c r="D8" s="120"/>
      <c r="E8" s="280"/>
      <c r="F8" s="142" t="str">
        <f t="shared" ref="F8:F24" si="0">IF(E8=0,"",G8/E8)</f>
        <v/>
      </c>
      <c r="G8" s="161"/>
      <c r="H8" s="161"/>
      <c r="I8" s="161"/>
      <c r="J8" s="161"/>
      <c r="K8" s="161"/>
      <c r="L8" s="142"/>
      <c r="M8" s="162"/>
      <c r="N8" s="142"/>
      <c r="O8" s="142"/>
      <c r="P8" s="142" t="str">
        <f t="shared" ref="P8:P25" si="1">IF(L8=0,"",(O8-L8)/L8*100)</f>
        <v/>
      </c>
      <c r="Q8" s="120"/>
      <c r="R8" s="120"/>
    </row>
    <row r="9" spans="1:18" ht="15.75" customHeight="1">
      <c r="A9" s="105"/>
      <c r="B9" s="128"/>
      <c r="C9" s="128"/>
      <c r="D9" s="120"/>
      <c r="E9" s="280"/>
      <c r="F9" s="142" t="str">
        <f t="shared" si="0"/>
        <v/>
      </c>
      <c r="G9" s="161"/>
      <c r="H9" s="161"/>
      <c r="I9" s="161"/>
      <c r="J9" s="161"/>
      <c r="K9" s="161"/>
      <c r="L9" s="142"/>
      <c r="M9" s="162"/>
      <c r="N9" s="142"/>
      <c r="O9" s="142"/>
      <c r="P9" s="142" t="str">
        <f t="shared" si="1"/>
        <v/>
      </c>
      <c r="Q9" s="120"/>
      <c r="R9" s="120"/>
    </row>
    <row r="10" spans="1:18" ht="15.75" customHeight="1">
      <c r="A10" s="105"/>
      <c r="B10" s="128"/>
      <c r="C10" s="128"/>
      <c r="D10" s="120"/>
      <c r="E10" s="280"/>
      <c r="F10" s="142" t="str">
        <f t="shared" si="0"/>
        <v/>
      </c>
      <c r="G10" s="161"/>
      <c r="H10" s="161"/>
      <c r="I10" s="161"/>
      <c r="J10" s="161"/>
      <c r="K10" s="161"/>
      <c r="L10" s="142"/>
      <c r="M10" s="162"/>
      <c r="N10" s="142"/>
      <c r="O10" s="142"/>
      <c r="P10" s="142" t="str">
        <f t="shared" si="1"/>
        <v/>
      </c>
      <c r="Q10" s="120"/>
      <c r="R10" s="120"/>
    </row>
    <row r="11" spans="1:18" ht="15.75" customHeight="1">
      <c r="A11" s="105"/>
      <c r="B11" s="128"/>
      <c r="C11" s="128"/>
      <c r="D11" s="120"/>
      <c r="E11" s="280"/>
      <c r="F11" s="142" t="str">
        <f t="shared" si="0"/>
        <v/>
      </c>
      <c r="G11" s="161"/>
      <c r="H11" s="161"/>
      <c r="I11" s="161"/>
      <c r="J11" s="161"/>
      <c r="K11" s="161"/>
      <c r="L11" s="142"/>
      <c r="M11" s="162"/>
      <c r="N11" s="142"/>
      <c r="O11" s="142"/>
      <c r="P11" s="142" t="str">
        <f t="shared" si="1"/>
        <v/>
      </c>
      <c r="Q11" s="120"/>
      <c r="R11" s="120"/>
    </row>
    <row r="12" spans="1:18" ht="15.75" customHeight="1">
      <c r="A12" s="105"/>
      <c r="B12" s="128"/>
      <c r="C12" s="128"/>
      <c r="D12" s="120"/>
      <c r="E12" s="280"/>
      <c r="F12" s="142" t="str">
        <f t="shared" si="0"/>
        <v/>
      </c>
      <c r="G12" s="161"/>
      <c r="H12" s="161"/>
      <c r="I12" s="161"/>
      <c r="J12" s="161"/>
      <c r="K12" s="161"/>
      <c r="L12" s="142"/>
      <c r="M12" s="162"/>
      <c r="N12" s="142"/>
      <c r="O12" s="142"/>
      <c r="P12" s="142" t="str">
        <f t="shared" si="1"/>
        <v/>
      </c>
      <c r="Q12" s="120"/>
      <c r="R12" s="120"/>
    </row>
    <row r="13" spans="1:18" ht="15.75" customHeight="1">
      <c r="A13" s="105"/>
      <c r="B13" s="128"/>
      <c r="C13" s="128"/>
      <c r="D13" s="120"/>
      <c r="E13" s="280"/>
      <c r="F13" s="142" t="str">
        <f t="shared" si="0"/>
        <v/>
      </c>
      <c r="G13" s="161"/>
      <c r="H13" s="161"/>
      <c r="I13" s="161"/>
      <c r="J13" s="161"/>
      <c r="K13" s="161"/>
      <c r="L13" s="142"/>
      <c r="M13" s="162"/>
      <c r="N13" s="142"/>
      <c r="O13" s="142"/>
      <c r="P13" s="142" t="str">
        <f t="shared" si="1"/>
        <v/>
      </c>
      <c r="Q13" s="120"/>
      <c r="R13" s="120"/>
    </row>
    <row r="14" spans="1:18" ht="15.75" customHeight="1">
      <c r="A14" s="105"/>
      <c r="B14" s="111"/>
      <c r="C14" s="111"/>
      <c r="D14" s="120"/>
      <c r="E14" s="280"/>
      <c r="F14" s="142" t="str">
        <f t="shared" si="0"/>
        <v/>
      </c>
      <c r="G14" s="161"/>
      <c r="H14" s="161"/>
      <c r="I14" s="161"/>
      <c r="J14" s="161"/>
      <c r="K14" s="161"/>
      <c r="L14" s="142"/>
      <c r="M14" s="162"/>
      <c r="N14" s="142"/>
      <c r="O14" s="142"/>
      <c r="P14" s="142" t="str">
        <f t="shared" si="1"/>
        <v/>
      </c>
      <c r="Q14" s="120"/>
      <c r="R14" s="120"/>
    </row>
    <row r="15" spans="1:18" ht="15.75" customHeight="1">
      <c r="A15" s="105"/>
      <c r="B15" s="111"/>
      <c r="C15" s="111"/>
      <c r="D15" s="120"/>
      <c r="E15" s="280"/>
      <c r="F15" s="142" t="str">
        <f t="shared" si="0"/>
        <v/>
      </c>
      <c r="G15" s="161"/>
      <c r="H15" s="161"/>
      <c r="I15" s="161"/>
      <c r="J15" s="161"/>
      <c r="K15" s="161"/>
      <c r="L15" s="142"/>
      <c r="M15" s="162"/>
      <c r="N15" s="142"/>
      <c r="O15" s="142"/>
      <c r="P15" s="142" t="str">
        <f t="shared" si="1"/>
        <v/>
      </c>
      <c r="Q15" s="120"/>
      <c r="R15" s="120"/>
    </row>
    <row r="16" spans="1:18" ht="15.75" customHeight="1">
      <c r="A16" s="105"/>
      <c r="B16" s="128"/>
      <c r="C16" s="128"/>
      <c r="D16" s="120"/>
      <c r="E16" s="280"/>
      <c r="F16" s="142" t="str">
        <f t="shared" si="0"/>
        <v/>
      </c>
      <c r="G16" s="161"/>
      <c r="H16" s="161"/>
      <c r="I16" s="161"/>
      <c r="J16" s="161"/>
      <c r="K16" s="161"/>
      <c r="L16" s="142"/>
      <c r="M16" s="162"/>
      <c r="N16" s="142"/>
      <c r="O16" s="142"/>
      <c r="P16" s="142" t="str">
        <f t="shared" si="1"/>
        <v/>
      </c>
      <c r="Q16" s="120"/>
      <c r="R16" s="120"/>
    </row>
    <row r="17" spans="1:18" ht="15.75" customHeight="1">
      <c r="A17" s="105"/>
      <c r="B17" s="128"/>
      <c r="C17" s="128"/>
      <c r="D17" s="120"/>
      <c r="E17" s="280"/>
      <c r="F17" s="142" t="str">
        <f t="shared" si="0"/>
        <v/>
      </c>
      <c r="G17" s="161"/>
      <c r="H17" s="161"/>
      <c r="I17" s="161"/>
      <c r="J17" s="161"/>
      <c r="K17" s="161"/>
      <c r="L17" s="142"/>
      <c r="M17" s="162"/>
      <c r="N17" s="142"/>
      <c r="O17" s="142"/>
      <c r="P17" s="142" t="str">
        <f t="shared" si="1"/>
        <v/>
      </c>
      <c r="Q17" s="120"/>
      <c r="R17" s="120"/>
    </row>
    <row r="18" spans="1:18" ht="15.75" customHeight="1">
      <c r="A18" s="105"/>
      <c r="B18" s="128"/>
      <c r="C18" s="128"/>
      <c r="D18" s="120"/>
      <c r="E18" s="280"/>
      <c r="F18" s="142" t="str">
        <f t="shared" si="0"/>
        <v/>
      </c>
      <c r="G18" s="161"/>
      <c r="H18" s="161"/>
      <c r="I18" s="161"/>
      <c r="J18" s="161"/>
      <c r="K18" s="161"/>
      <c r="L18" s="142"/>
      <c r="M18" s="162"/>
      <c r="N18" s="142"/>
      <c r="O18" s="142"/>
      <c r="P18" s="142" t="str">
        <f t="shared" si="1"/>
        <v/>
      </c>
      <c r="Q18" s="120"/>
      <c r="R18" s="120"/>
    </row>
    <row r="19" spans="1:18" ht="15.75" customHeight="1">
      <c r="A19" s="105"/>
      <c r="B19" s="128"/>
      <c r="C19" s="128"/>
      <c r="D19" s="120"/>
      <c r="E19" s="280"/>
      <c r="F19" s="142" t="str">
        <f t="shared" si="0"/>
        <v/>
      </c>
      <c r="G19" s="161"/>
      <c r="H19" s="161"/>
      <c r="I19" s="161"/>
      <c r="J19" s="161"/>
      <c r="K19" s="161"/>
      <c r="L19" s="142"/>
      <c r="M19" s="162"/>
      <c r="N19" s="142"/>
      <c r="O19" s="142"/>
      <c r="P19" s="142" t="str">
        <f t="shared" si="1"/>
        <v/>
      </c>
      <c r="Q19" s="120"/>
      <c r="R19" s="120"/>
    </row>
    <row r="20" spans="1:18" ht="15.75" customHeight="1">
      <c r="A20" s="105"/>
      <c r="B20" s="128"/>
      <c r="C20" s="128"/>
      <c r="D20" s="120"/>
      <c r="E20" s="280"/>
      <c r="F20" s="142" t="str">
        <f t="shared" si="0"/>
        <v/>
      </c>
      <c r="G20" s="161"/>
      <c r="H20" s="161"/>
      <c r="I20" s="161"/>
      <c r="J20" s="161"/>
      <c r="K20" s="161"/>
      <c r="L20" s="142"/>
      <c r="M20" s="162"/>
      <c r="N20" s="142"/>
      <c r="O20" s="142"/>
      <c r="P20" s="142" t="str">
        <f t="shared" si="1"/>
        <v/>
      </c>
      <c r="Q20" s="120"/>
      <c r="R20" s="120"/>
    </row>
    <row r="21" spans="1:18" ht="15.75" customHeight="1">
      <c r="A21" s="105"/>
      <c r="B21" s="128"/>
      <c r="C21" s="128"/>
      <c r="D21" s="120"/>
      <c r="E21" s="280"/>
      <c r="F21" s="142" t="str">
        <f t="shared" si="0"/>
        <v/>
      </c>
      <c r="G21" s="161"/>
      <c r="H21" s="161"/>
      <c r="I21" s="161"/>
      <c r="J21" s="161"/>
      <c r="K21" s="161"/>
      <c r="L21" s="142"/>
      <c r="M21" s="162"/>
      <c r="N21" s="142"/>
      <c r="O21" s="142"/>
      <c r="P21" s="142" t="str">
        <f t="shared" si="1"/>
        <v/>
      </c>
      <c r="Q21" s="120"/>
      <c r="R21" s="120"/>
    </row>
    <row r="22" spans="1:18" ht="15.75" customHeight="1">
      <c r="A22" s="105"/>
      <c r="B22" s="111"/>
      <c r="C22" s="111"/>
      <c r="D22" s="120"/>
      <c r="E22" s="280"/>
      <c r="F22" s="142" t="str">
        <f t="shared" si="0"/>
        <v/>
      </c>
      <c r="G22" s="161"/>
      <c r="H22" s="161"/>
      <c r="I22" s="161"/>
      <c r="J22" s="161"/>
      <c r="K22" s="161"/>
      <c r="L22" s="142"/>
      <c r="M22" s="162"/>
      <c r="N22" s="142"/>
      <c r="O22" s="142"/>
      <c r="P22" s="142" t="str">
        <f t="shared" si="1"/>
        <v/>
      </c>
      <c r="Q22" s="120"/>
      <c r="R22" s="120"/>
    </row>
    <row r="23" spans="1:18" ht="15.75" customHeight="1">
      <c r="A23" s="105"/>
      <c r="B23" s="111"/>
      <c r="C23" s="111"/>
      <c r="D23" s="120"/>
      <c r="E23" s="280"/>
      <c r="F23" s="142" t="str">
        <f t="shared" si="0"/>
        <v/>
      </c>
      <c r="G23" s="161"/>
      <c r="H23" s="161"/>
      <c r="I23" s="161"/>
      <c r="J23" s="161"/>
      <c r="K23" s="161"/>
      <c r="L23" s="142"/>
      <c r="M23" s="162"/>
      <c r="N23" s="142"/>
      <c r="O23" s="142"/>
      <c r="P23" s="142" t="str">
        <f t="shared" si="1"/>
        <v/>
      </c>
      <c r="Q23" s="120"/>
      <c r="R23" s="120"/>
    </row>
    <row r="24" spans="1:18" ht="15.75" customHeight="1">
      <c r="A24" s="105"/>
      <c r="B24" s="128"/>
      <c r="C24" s="128"/>
      <c r="D24" s="120"/>
      <c r="E24" s="280"/>
      <c r="F24" s="142" t="str">
        <f t="shared" si="0"/>
        <v/>
      </c>
      <c r="G24" s="161"/>
      <c r="H24" s="161"/>
      <c r="I24" s="161"/>
      <c r="J24" s="161"/>
      <c r="K24" s="161"/>
      <c r="L24" s="142"/>
      <c r="M24" s="162"/>
      <c r="N24" s="142"/>
      <c r="O24" s="142"/>
      <c r="P24" s="142" t="str">
        <f t="shared" si="1"/>
        <v/>
      </c>
      <c r="Q24" s="120"/>
      <c r="R24" s="120"/>
    </row>
    <row r="25" spans="1:18" ht="15.75" customHeight="1">
      <c r="A25" s="105"/>
      <c r="B25" s="128"/>
      <c r="C25" s="128"/>
      <c r="D25" s="120"/>
      <c r="E25" s="280"/>
      <c r="F25" s="142" t="str">
        <f>IF(E25=0,"",G25/E25)</f>
        <v/>
      </c>
      <c r="G25" s="161"/>
      <c r="H25" s="161"/>
      <c r="I25" s="161"/>
      <c r="J25" s="161"/>
      <c r="K25" s="161"/>
      <c r="L25" s="142"/>
      <c r="M25" s="162"/>
      <c r="N25" s="142"/>
      <c r="O25" s="142"/>
      <c r="P25" s="142" t="str">
        <f t="shared" si="1"/>
        <v/>
      </c>
      <c r="Q25" s="120"/>
      <c r="R25" s="120"/>
    </row>
    <row r="26" spans="1:18" ht="15.75" customHeight="1">
      <c r="A26" s="105"/>
      <c r="B26" s="128"/>
      <c r="C26" s="128"/>
      <c r="D26" s="120"/>
      <c r="E26" s="280"/>
      <c r="F26" s="161"/>
      <c r="G26" s="161"/>
      <c r="H26" s="161"/>
      <c r="I26" s="161"/>
      <c r="J26" s="161"/>
      <c r="K26" s="161"/>
      <c r="L26" s="142"/>
      <c r="M26" s="162"/>
      <c r="N26" s="142"/>
      <c r="O26" s="142"/>
      <c r="P26" s="142"/>
      <c r="Q26" s="120"/>
      <c r="R26" s="120"/>
    </row>
    <row r="27" spans="1:18" ht="15.75" customHeight="1">
      <c r="A27" s="809" t="s">
        <v>54</v>
      </c>
      <c r="B27" s="810"/>
      <c r="C27" s="110"/>
      <c r="D27" s="120"/>
      <c r="E27" s="162"/>
      <c r="F27" s="142"/>
      <c r="G27" s="142">
        <f>SUM(G7:G26)</f>
        <v>0</v>
      </c>
      <c r="H27" s="142"/>
      <c r="I27" s="142"/>
      <c r="J27" s="142"/>
      <c r="K27" s="142"/>
      <c r="L27" s="142">
        <f>SUM(L7:L26)</f>
        <v>0</v>
      </c>
      <c r="M27" s="162"/>
      <c r="N27" s="142"/>
      <c r="O27" s="142">
        <f>SUM(O7:O26)</f>
        <v>0</v>
      </c>
      <c r="P27" s="142" t="str">
        <f>IF(L27=0,"",(O27-L27)/L27*100)</f>
        <v/>
      </c>
      <c r="Q27" s="120"/>
      <c r="R27" s="120"/>
    </row>
    <row r="28" spans="1:18" ht="15.75" customHeight="1">
      <c r="A28" s="101" t="e">
        <f>#REF!&amp;#REF!</f>
        <v>#REF!</v>
      </c>
      <c r="F28" s="115"/>
      <c r="G28" s="115"/>
      <c r="H28" s="115"/>
      <c r="I28" s="115"/>
      <c r="J28" s="115"/>
      <c r="K28" s="115"/>
      <c r="L28" s="115" t="e">
        <f>"评估人员："&amp;#REF!</f>
        <v>#REF!</v>
      </c>
    </row>
    <row r="29" spans="1:18" ht="15.75" customHeight="1">
      <c r="A29" s="4" t="e">
        <f>CONCATENATE(#REF!,#REF!,#REF!,#REF!,#REF!,#REF!,#REF!)</f>
        <v>#REF!</v>
      </c>
    </row>
    <row r="30" spans="1:18" ht="15.75" customHeight="1">
      <c r="B30" s="106" t="s">
        <v>360</v>
      </c>
      <c r="C30" s="106"/>
      <c r="D30" s="4" t="s">
        <v>295</v>
      </c>
    </row>
    <row r="31" spans="1:18" ht="15.75" customHeight="1">
      <c r="D31" s="4" t="s">
        <v>296</v>
      </c>
    </row>
  </sheetData>
  <mergeCells count="14">
    <mergeCell ref="A2:Q2"/>
    <mergeCell ref="A3:Q3"/>
    <mergeCell ref="A27:B27"/>
    <mergeCell ref="Q5:Q6"/>
    <mergeCell ref="J5:L5"/>
    <mergeCell ref="M5:O5"/>
    <mergeCell ref="C5:C6"/>
    <mergeCell ref="E5:H5"/>
    <mergeCell ref="R5:R6"/>
    <mergeCell ref="A5:A6"/>
    <mergeCell ref="B5:B6"/>
    <mergeCell ref="D5:D6"/>
    <mergeCell ref="P5:P6"/>
    <mergeCell ref="I5:I6"/>
  </mergeCells>
  <phoneticPr fontId="6" type="noConversion"/>
  <hyperlinks>
    <hyperlink ref="A1" location="索引目录!E19" display="原材料"/>
    <hyperlink ref="B1" location="存货汇总!B7" display="原材料"/>
  </hyperlinks>
  <printOptions horizontalCentered="1"/>
  <pageMargins left="0.35433070866141736" right="0.35433070866141736" top="0.78740157480314965" bottom="0.78740157480314965" header="1.06" footer="0.51181102362204722"/>
  <pageSetup paperSize="9" scale="68" fitToHeight="0" orientation="landscape" horizontalDpi="4294967292" r:id="rId1"/>
  <headerFooter alignWithMargins="0">
    <oddHeader>&amp;R&amp;"宋体,常规"&amp;10表&amp;"Times New Roman,常规"3-9-2
&amp;"宋体,常规"共&amp;"Times New Roman,常规"&amp;N&amp;"宋体,常规"页第&amp;"Times New Roman,常规"&amp;P&amp;"宋体,常规"页</oddHead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pageSetUpPr fitToPage="1"/>
  </sheetPr>
  <dimension ref="A1:R27"/>
  <sheetViews>
    <sheetView workbookViewId="0">
      <pane xSplit="4" ySplit="6" topLeftCell="F7" activePane="bottomRight" state="frozen"/>
      <selection activeCell="M7" sqref="M7"/>
      <selection pane="topRight" activeCell="M7" sqref="M7"/>
      <selection pane="bottomLeft" activeCell="M7" sqref="M7"/>
      <selection pane="bottomRight" activeCell="M7" sqref="M7"/>
    </sheetView>
  </sheetViews>
  <sheetFormatPr defaultRowHeight="15.75" customHeight="1" outlineLevelCol="1"/>
  <cols>
    <col min="1" max="1" width="4.75" style="4" customWidth="1"/>
    <col min="2" max="2" width="12.875" style="4" customWidth="1"/>
    <col min="3" max="3" width="12.5" style="4" customWidth="1"/>
    <col min="4" max="4" width="5.375" style="4" customWidth="1"/>
    <col min="5" max="5" width="6.625" style="4" customWidth="1" outlineLevel="1"/>
    <col min="6" max="6" width="7.125" style="133" customWidth="1" outlineLevel="1"/>
    <col min="7" max="7" width="9.5" style="321" customWidth="1" outlineLevel="1"/>
    <col min="8" max="8" width="8.625" style="321" customWidth="1" outlineLevel="1"/>
    <col min="9" max="9" width="5.125" style="4" customWidth="1" outlineLevel="1"/>
    <col min="10" max="10" width="7.25" style="4" customWidth="1"/>
    <col min="11" max="11" width="6.875" style="4" customWidth="1"/>
    <col min="12" max="12" width="9.625" style="4" customWidth="1"/>
    <col min="13" max="13" width="5.875" style="4" customWidth="1"/>
    <col min="14" max="14" width="7.375" style="4" customWidth="1" outlineLevel="1"/>
    <col min="15" max="15" width="9.5" style="4" customWidth="1" outlineLevel="1"/>
    <col min="16" max="16" width="5.875" style="4" customWidth="1" outlineLevel="1"/>
    <col min="17" max="17" width="7.75" style="4" customWidth="1"/>
    <col min="18" max="18" width="8.375" style="4" customWidth="1"/>
    <col min="19" max="16384" width="9" style="4"/>
  </cols>
  <sheetData>
    <row r="1" spans="1:18" ht="9.75" customHeight="1">
      <c r="A1" s="272" t="s">
        <v>130</v>
      </c>
      <c r="B1" s="196" t="s">
        <v>132</v>
      </c>
      <c r="C1" s="196"/>
      <c r="D1" s="1"/>
      <c r="E1" s="1"/>
      <c r="F1" s="1"/>
      <c r="G1" s="1"/>
      <c r="H1" s="1"/>
      <c r="I1" s="1"/>
      <c r="J1" s="1"/>
      <c r="K1" s="1"/>
      <c r="L1" s="1"/>
      <c r="M1" s="1"/>
      <c r="N1" s="1"/>
      <c r="O1" s="1"/>
      <c r="P1" s="1"/>
      <c r="Q1" s="1"/>
    </row>
    <row r="2" spans="1:18" s="114" customFormat="1" ht="25.5" customHeight="1">
      <c r="A2" s="790" t="s">
        <v>899</v>
      </c>
      <c r="B2" s="791"/>
      <c r="C2" s="791"/>
      <c r="D2" s="791"/>
      <c r="E2" s="791"/>
      <c r="F2" s="791"/>
      <c r="G2" s="791"/>
      <c r="H2" s="791"/>
      <c r="I2" s="791"/>
      <c r="J2" s="791"/>
      <c r="K2" s="791"/>
      <c r="L2" s="791"/>
      <c r="M2" s="791"/>
      <c r="N2" s="791"/>
      <c r="O2" s="791"/>
      <c r="P2" s="791"/>
      <c r="Q2" s="791"/>
    </row>
    <row r="3" spans="1:18" ht="14.1" customHeight="1">
      <c r="A3" s="792" t="e">
        <f>CONCATENATE(#REF!,#REF!,#REF!,#REF!,#REF!,#REF!,#REF!)</f>
        <v>#REF!</v>
      </c>
      <c r="B3" s="792"/>
      <c r="C3" s="792"/>
      <c r="D3" s="792"/>
      <c r="E3" s="792"/>
      <c r="F3" s="808"/>
      <c r="G3" s="808"/>
      <c r="H3" s="808"/>
      <c r="I3" s="808"/>
      <c r="J3" s="808"/>
      <c r="K3" s="808"/>
      <c r="L3" s="808"/>
      <c r="M3" s="808"/>
      <c r="N3" s="808"/>
      <c r="O3" s="808"/>
      <c r="P3" s="808"/>
      <c r="Q3" s="808"/>
    </row>
    <row r="4" spans="1:18" ht="15.75" customHeight="1">
      <c r="A4" s="115" t="e">
        <f>#REF!&amp;#REF!</f>
        <v>#REF!</v>
      </c>
      <c r="Q4" s="106" t="s">
        <v>3</v>
      </c>
    </row>
    <row r="5" spans="1:18" s="1" customFormat="1" ht="15.75" customHeight="1">
      <c r="A5" s="815" t="s">
        <v>4</v>
      </c>
      <c r="B5" s="815" t="s">
        <v>931</v>
      </c>
      <c r="C5" s="815" t="s">
        <v>932</v>
      </c>
      <c r="D5" s="817" t="s">
        <v>267</v>
      </c>
      <c r="E5" s="821" t="s">
        <v>426</v>
      </c>
      <c r="F5" s="822"/>
      <c r="G5" s="822"/>
      <c r="H5" s="823"/>
      <c r="I5" s="817" t="s">
        <v>714</v>
      </c>
      <c r="J5" s="824" t="s">
        <v>315</v>
      </c>
      <c r="K5" s="825"/>
      <c r="L5" s="826"/>
      <c r="M5" s="821" t="s">
        <v>0</v>
      </c>
      <c r="N5" s="822"/>
      <c r="O5" s="823"/>
      <c r="P5" s="817" t="s">
        <v>20</v>
      </c>
      <c r="Q5" s="815" t="s">
        <v>72</v>
      </c>
      <c r="R5" s="815" t="s">
        <v>294</v>
      </c>
    </row>
    <row r="6" spans="1:18" s="116" customFormat="1" ht="15.75" customHeight="1">
      <c r="A6" s="816"/>
      <c r="B6" s="816"/>
      <c r="C6" s="816"/>
      <c r="D6" s="818"/>
      <c r="E6" s="373" t="s">
        <v>87</v>
      </c>
      <c r="F6" s="373" t="s">
        <v>264</v>
      </c>
      <c r="G6" s="386" t="s">
        <v>942</v>
      </c>
      <c r="H6" s="498" t="s">
        <v>944</v>
      </c>
      <c r="I6" s="827"/>
      <c r="J6" s="102" t="s">
        <v>87</v>
      </c>
      <c r="K6" s="102" t="s">
        <v>264</v>
      </c>
      <c r="L6" s="102" t="s">
        <v>71</v>
      </c>
      <c r="M6" s="499" t="s">
        <v>262</v>
      </c>
      <c r="N6" s="102" t="s">
        <v>264</v>
      </c>
      <c r="O6" s="102" t="s">
        <v>71</v>
      </c>
      <c r="P6" s="818"/>
      <c r="Q6" s="816"/>
      <c r="R6" s="816"/>
    </row>
    <row r="7" spans="1:18" s="135" customFormat="1" ht="15.75" customHeight="1">
      <c r="A7" s="153">
        <v>1</v>
      </c>
      <c r="B7" s="131"/>
      <c r="C7" s="374"/>
      <c r="D7" s="134"/>
      <c r="E7" s="516"/>
      <c r="F7" s="142" t="str">
        <f>IF(E7=0,"",G7/E7)</f>
        <v/>
      </c>
      <c r="G7" s="160"/>
      <c r="H7" s="160"/>
      <c r="I7" s="160"/>
      <c r="J7" s="518">
        <f>E7</f>
        <v>0</v>
      </c>
      <c r="K7" s="160" t="str">
        <f>F7</f>
        <v/>
      </c>
      <c r="L7" s="142">
        <f>G7+I7</f>
        <v>0</v>
      </c>
      <c r="M7" s="162"/>
      <c r="N7" s="142"/>
      <c r="O7" s="142"/>
      <c r="P7" s="142" t="str">
        <f>IF(L7=0,"",(O7-L7)/L7*100)</f>
        <v/>
      </c>
      <c r="Q7" s="120"/>
      <c r="R7" s="127"/>
    </row>
    <row r="8" spans="1:18" ht="15.75" customHeight="1">
      <c r="A8" s="105">
        <v>2</v>
      </c>
      <c r="B8" s="111"/>
      <c r="C8" s="111"/>
      <c r="D8" s="105"/>
      <c r="E8" s="517"/>
      <c r="F8" s="142" t="str">
        <f t="shared" ref="F8:F21" si="0">IF(E8=0,"",G8/E8)</f>
        <v/>
      </c>
      <c r="G8" s="160"/>
      <c r="H8" s="160"/>
      <c r="I8" s="161"/>
      <c r="J8" s="518">
        <f t="shared" ref="J8:J21" si="1">E8</f>
        <v>0</v>
      </c>
      <c r="K8" s="160" t="str">
        <f t="shared" ref="K8:K21" si="2">F8</f>
        <v/>
      </c>
      <c r="L8" s="142">
        <f t="shared" ref="L8:L21" si="3">G8+I8</f>
        <v>0</v>
      </c>
      <c r="M8" s="162"/>
      <c r="N8" s="142"/>
      <c r="O8" s="142"/>
      <c r="P8" s="142" t="str">
        <f t="shared" ref="P8:P21" si="4">IF(L8=0,"",(O8-L8)/L8*100)</f>
        <v/>
      </c>
      <c r="Q8" s="120"/>
      <c r="R8" s="120"/>
    </row>
    <row r="9" spans="1:18" ht="15.75" customHeight="1">
      <c r="A9" s="153">
        <v>3</v>
      </c>
      <c r="B9" s="128"/>
      <c r="C9" s="128"/>
      <c r="D9" s="105"/>
      <c r="E9" s="517"/>
      <c r="F9" s="142" t="str">
        <f t="shared" si="0"/>
        <v/>
      </c>
      <c r="G9" s="160"/>
      <c r="H9" s="160"/>
      <c r="I9" s="161"/>
      <c r="J9" s="518">
        <f t="shared" si="1"/>
        <v>0</v>
      </c>
      <c r="K9" s="160" t="str">
        <f t="shared" si="2"/>
        <v/>
      </c>
      <c r="L9" s="142">
        <f t="shared" si="3"/>
        <v>0</v>
      </c>
      <c r="M9" s="162"/>
      <c r="N9" s="142"/>
      <c r="O9" s="142"/>
      <c r="P9" s="142" t="str">
        <f t="shared" si="4"/>
        <v/>
      </c>
      <c r="Q9" s="120"/>
      <c r="R9" s="120"/>
    </row>
    <row r="10" spans="1:18" ht="15.75" customHeight="1">
      <c r="A10" s="105">
        <v>4</v>
      </c>
      <c r="B10" s="128"/>
      <c r="C10" s="128"/>
      <c r="D10" s="105"/>
      <c r="E10" s="517"/>
      <c r="F10" s="142" t="str">
        <f t="shared" si="0"/>
        <v/>
      </c>
      <c r="G10" s="160"/>
      <c r="H10" s="160"/>
      <c r="I10" s="161"/>
      <c r="J10" s="518">
        <f t="shared" si="1"/>
        <v>0</v>
      </c>
      <c r="K10" s="160" t="str">
        <f t="shared" si="2"/>
        <v/>
      </c>
      <c r="L10" s="142">
        <f t="shared" si="3"/>
        <v>0</v>
      </c>
      <c r="M10" s="162"/>
      <c r="N10" s="142"/>
      <c r="O10" s="142"/>
      <c r="P10" s="142" t="str">
        <f t="shared" si="4"/>
        <v/>
      </c>
      <c r="Q10" s="120"/>
      <c r="R10" s="120"/>
    </row>
    <row r="11" spans="1:18" ht="15.75" customHeight="1">
      <c r="A11" s="153">
        <v>5</v>
      </c>
      <c r="B11" s="128"/>
      <c r="C11" s="128"/>
      <c r="D11" s="105"/>
      <c r="E11" s="517"/>
      <c r="F11" s="142" t="str">
        <f t="shared" si="0"/>
        <v/>
      </c>
      <c r="G11" s="160"/>
      <c r="H11" s="160"/>
      <c r="I11" s="161"/>
      <c r="J11" s="518">
        <f t="shared" si="1"/>
        <v>0</v>
      </c>
      <c r="K11" s="160" t="str">
        <f t="shared" si="2"/>
        <v/>
      </c>
      <c r="L11" s="142">
        <f t="shared" si="3"/>
        <v>0</v>
      </c>
      <c r="M11" s="162"/>
      <c r="N11" s="142"/>
      <c r="O11" s="142"/>
      <c r="P11" s="142" t="str">
        <f t="shared" si="4"/>
        <v/>
      </c>
      <c r="Q11" s="120"/>
      <c r="R11" s="120"/>
    </row>
    <row r="12" spans="1:18" ht="15.75" customHeight="1">
      <c r="A12" s="105">
        <v>6</v>
      </c>
      <c r="B12" s="128"/>
      <c r="C12" s="128"/>
      <c r="D12" s="105"/>
      <c r="E12" s="517"/>
      <c r="F12" s="142" t="str">
        <f t="shared" si="0"/>
        <v/>
      </c>
      <c r="G12" s="160"/>
      <c r="H12" s="160"/>
      <c r="I12" s="161"/>
      <c r="J12" s="518">
        <f t="shared" si="1"/>
        <v>0</v>
      </c>
      <c r="K12" s="160" t="str">
        <f t="shared" si="2"/>
        <v/>
      </c>
      <c r="L12" s="142">
        <f t="shared" si="3"/>
        <v>0</v>
      </c>
      <c r="M12" s="162"/>
      <c r="N12" s="142"/>
      <c r="O12" s="142"/>
      <c r="P12" s="142" t="str">
        <f t="shared" si="4"/>
        <v/>
      </c>
      <c r="Q12" s="120"/>
      <c r="R12" s="120"/>
    </row>
    <row r="13" spans="1:18" ht="15.75" customHeight="1">
      <c r="A13" s="153">
        <v>7</v>
      </c>
      <c r="B13" s="128"/>
      <c r="C13" s="128"/>
      <c r="D13" s="105"/>
      <c r="E13" s="517"/>
      <c r="F13" s="142" t="str">
        <f t="shared" si="0"/>
        <v/>
      </c>
      <c r="G13" s="160"/>
      <c r="H13" s="160"/>
      <c r="I13" s="161"/>
      <c r="J13" s="518">
        <f t="shared" si="1"/>
        <v>0</v>
      </c>
      <c r="K13" s="160" t="str">
        <f t="shared" si="2"/>
        <v/>
      </c>
      <c r="L13" s="142">
        <f t="shared" si="3"/>
        <v>0</v>
      </c>
      <c r="M13" s="162"/>
      <c r="N13" s="142"/>
      <c r="O13" s="142"/>
      <c r="P13" s="142" t="str">
        <f t="shared" si="4"/>
        <v/>
      </c>
      <c r="Q13" s="120"/>
      <c r="R13" s="120"/>
    </row>
    <row r="14" spans="1:18" ht="15.75" customHeight="1">
      <c r="A14" s="105">
        <v>8</v>
      </c>
      <c r="B14" s="111"/>
      <c r="C14" s="111"/>
      <c r="D14" s="105"/>
      <c r="E14" s="517"/>
      <c r="F14" s="142" t="str">
        <f t="shared" si="0"/>
        <v/>
      </c>
      <c r="G14" s="160"/>
      <c r="H14" s="160"/>
      <c r="I14" s="161"/>
      <c r="J14" s="518">
        <f t="shared" si="1"/>
        <v>0</v>
      </c>
      <c r="K14" s="160" t="str">
        <f t="shared" si="2"/>
        <v/>
      </c>
      <c r="L14" s="142">
        <f t="shared" si="3"/>
        <v>0</v>
      </c>
      <c r="M14" s="162"/>
      <c r="N14" s="142"/>
      <c r="O14" s="142"/>
      <c r="P14" s="142" t="str">
        <f t="shared" si="4"/>
        <v/>
      </c>
      <c r="Q14" s="120"/>
      <c r="R14" s="120"/>
    </row>
    <row r="15" spans="1:18" ht="15.75" customHeight="1">
      <c r="A15" s="153">
        <v>9</v>
      </c>
      <c r="B15" s="111"/>
      <c r="C15" s="111"/>
      <c r="D15" s="105"/>
      <c r="E15" s="517"/>
      <c r="F15" s="142" t="str">
        <f t="shared" si="0"/>
        <v/>
      </c>
      <c r="G15" s="160"/>
      <c r="H15" s="160"/>
      <c r="I15" s="161"/>
      <c r="J15" s="518">
        <f t="shared" si="1"/>
        <v>0</v>
      </c>
      <c r="K15" s="160" t="str">
        <f t="shared" si="2"/>
        <v/>
      </c>
      <c r="L15" s="142">
        <f t="shared" si="3"/>
        <v>0</v>
      </c>
      <c r="M15" s="162"/>
      <c r="N15" s="142"/>
      <c r="O15" s="142"/>
      <c r="P15" s="142" t="str">
        <f t="shared" si="4"/>
        <v/>
      </c>
      <c r="Q15" s="120"/>
      <c r="R15" s="120"/>
    </row>
    <row r="16" spans="1:18" ht="15.75" customHeight="1">
      <c r="A16" s="153">
        <v>10</v>
      </c>
      <c r="B16" s="128"/>
      <c r="C16" s="128"/>
      <c r="D16" s="105"/>
      <c r="E16" s="517"/>
      <c r="F16" s="142" t="str">
        <f t="shared" si="0"/>
        <v/>
      </c>
      <c r="G16" s="160"/>
      <c r="H16" s="160"/>
      <c r="I16" s="161"/>
      <c r="J16" s="518">
        <f t="shared" si="1"/>
        <v>0</v>
      </c>
      <c r="K16" s="160" t="str">
        <f t="shared" si="2"/>
        <v/>
      </c>
      <c r="L16" s="142">
        <f t="shared" si="3"/>
        <v>0</v>
      </c>
      <c r="M16" s="162"/>
      <c r="N16" s="142"/>
      <c r="O16" s="142"/>
      <c r="P16" s="142" t="str">
        <f t="shared" si="4"/>
        <v/>
      </c>
      <c r="Q16" s="120"/>
      <c r="R16" s="120"/>
    </row>
    <row r="17" spans="1:18" ht="15.75" customHeight="1">
      <c r="A17" s="153">
        <v>11</v>
      </c>
      <c r="B17" s="128"/>
      <c r="C17" s="128"/>
      <c r="D17" s="105"/>
      <c r="E17" s="517"/>
      <c r="F17" s="142" t="str">
        <f t="shared" si="0"/>
        <v/>
      </c>
      <c r="G17" s="160"/>
      <c r="H17" s="160"/>
      <c r="I17" s="161"/>
      <c r="J17" s="518">
        <f t="shared" si="1"/>
        <v>0</v>
      </c>
      <c r="K17" s="160" t="str">
        <f t="shared" si="2"/>
        <v/>
      </c>
      <c r="L17" s="142">
        <f t="shared" si="3"/>
        <v>0</v>
      </c>
      <c r="M17" s="162"/>
      <c r="N17" s="142"/>
      <c r="O17" s="142"/>
      <c r="P17" s="142" t="str">
        <f t="shared" si="4"/>
        <v/>
      </c>
      <c r="Q17" s="120"/>
      <c r="R17" s="120"/>
    </row>
    <row r="18" spans="1:18" ht="15.75" customHeight="1">
      <c r="A18" s="153">
        <v>12</v>
      </c>
      <c r="B18" s="128"/>
      <c r="C18" s="128"/>
      <c r="D18" s="105"/>
      <c r="E18" s="517"/>
      <c r="F18" s="142" t="str">
        <f t="shared" si="0"/>
        <v/>
      </c>
      <c r="G18" s="160"/>
      <c r="H18" s="160"/>
      <c r="I18" s="161"/>
      <c r="J18" s="518">
        <f t="shared" si="1"/>
        <v>0</v>
      </c>
      <c r="K18" s="160" t="str">
        <f t="shared" si="2"/>
        <v/>
      </c>
      <c r="L18" s="142">
        <f t="shared" si="3"/>
        <v>0</v>
      </c>
      <c r="M18" s="162"/>
      <c r="N18" s="142"/>
      <c r="O18" s="142"/>
      <c r="P18" s="142" t="str">
        <f t="shared" si="4"/>
        <v/>
      </c>
      <c r="Q18" s="120"/>
      <c r="R18" s="120"/>
    </row>
    <row r="19" spans="1:18" ht="15.75" customHeight="1">
      <c r="A19" s="153">
        <v>13</v>
      </c>
      <c r="B19" s="128"/>
      <c r="C19" s="128"/>
      <c r="D19" s="105"/>
      <c r="E19" s="517"/>
      <c r="F19" s="142" t="str">
        <f t="shared" si="0"/>
        <v/>
      </c>
      <c r="G19" s="160"/>
      <c r="H19" s="160"/>
      <c r="I19" s="161"/>
      <c r="J19" s="518">
        <f t="shared" si="1"/>
        <v>0</v>
      </c>
      <c r="K19" s="160" t="str">
        <f t="shared" si="2"/>
        <v/>
      </c>
      <c r="L19" s="142">
        <f t="shared" si="3"/>
        <v>0</v>
      </c>
      <c r="M19" s="162"/>
      <c r="N19" s="142"/>
      <c r="O19" s="142"/>
      <c r="P19" s="142" t="str">
        <f t="shared" si="4"/>
        <v/>
      </c>
      <c r="Q19" s="120"/>
      <c r="R19" s="120"/>
    </row>
    <row r="20" spans="1:18" ht="15.75" customHeight="1">
      <c r="A20" s="153">
        <v>14</v>
      </c>
      <c r="B20" s="128"/>
      <c r="C20" s="128"/>
      <c r="D20" s="105"/>
      <c r="E20" s="517"/>
      <c r="F20" s="142" t="str">
        <f t="shared" si="0"/>
        <v/>
      </c>
      <c r="G20" s="160"/>
      <c r="H20" s="160"/>
      <c r="I20" s="161"/>
      <c r="J20" s="518">
        <f t="shared" si="1"/>
        <v>0</v>
      </c>
      <c r="K20" s="160" t="str">
        <f t="shared" si="2"/>
        <v/>
      </c>
      <c r="L20" s="142">
        <f t="shared" si="3"/>
        <v>0</v>
      </c>
      <c r="M20" s="162"/>
      <c r="N20" s="142"/>
      <c r="O20" s="142"/>
      <c r="P20" s="142" t="str">
        <f t="shared" si="4"/>
        <v/>
      </c>
      <c r="Q20" s="120"/>
      <c r="R20" s="120"/>
    </row>
    <row r="21" spans="1:18" ht="15.75" customHeight="1">
      <c r="A21" s="153">
        <v>15</v>
      </c>
      <c r="B21" s="128"/>
      <c r="C21" s="128"/>
      <c r="D21" s="105"/>
      <c r="E21" s="517"/>
      <c r="F21" s="142" t="str">
        <f t="shared" si="0"/>
        <v/>
      </c>
      <c r="G21" s="160"/>
      <c r="H21" s="160"/>
      <c r="I21" s="161"/>
      <c r="J21" s="518">
        <f t="shared" si="1"/>
        <v>0</v>
      </c>
      <c r="K21" s="160" t="str">
        <f t="shared" si="2"/>
        <v/>
      </c>
      <c r="L21" s="142">
        <f t="shared" si="3"/>
        <v>0</v>
      </c>
      <c r="M21" s="162"/>
      <c r="N21" s="142"/>
      <c r="O21" s="142"/>
      <c r="P21" s="142" t="str">
        <f t="shared" si="4"/>
        <v/>
      </c>
      <c r="Q21" s="120"/>
      <c r="R21" s="120"/>
    </row>
    <row r="22" spans="1:18" ht="15.75" customHeight="1">
      <c r="A22" s="105"/>
      <c r="B22" s="128"/>
      <c r="C22" s="128"/>
      <c r="D22" s="120"/>
      <c r="E22" s="280"/>
      <c r="F22" s="161"/>
      <c r="G22" s="160"/>
      <c r="H22" s="160"/>
      <c r="I22" s="161"/>
      <c r="J22" s="161"/>
      <c r="K22" s="161"/>
      <c r="L22" s="142"/>
      <c r="M22" s="162"/>
      <c r="N22" s="142"/>
      <c r="O22" s="142"/>
      <c r="P22" s="142"/>
      <c r="Q22" s="120"/>
      <c r="R22" s="120"/>
    </row>
    <row r="23" spans="1:18" ht="15.75" customHeight="1">
      <c r="A23" s="809" t="s">
        <v>54</v>
      </c>
      <c r="B23" s="810"/>
      <c r="C23" s="110"/>
      <c r="D23" s="120"/>
      <c r="E23" s="162"/>
      <c r="F23" s="142"/>
      <c r="G23" s="375">
        <f>SUM(G7:G22)</f>
        <v>0</v>
      </c>
      <c r="H23" s="375"/>
      <c r="I23" s="142"/>
      <c r="J23" s="142"/>
      <c r="K23" s="142"/>
      <c r="L23" s="142">
        <f>SUM(L7:L22)</f>
        <v>0</v>
      </c>
      <c r="M23" s="162"/>
      <c r="N23" s="142"/>
      <c r="O23" s="142">
        <f>SUM(O7:O22)</f>
        <v>0</v>
      </c>
      <c r="P23" s="142" t="str">
        <f>IF(L23=0,"",(O23-L23)/L23*100)</f>
        <v/>
      </c>
      <c r="Q23" s="120"/>
      <c r="R23" s="120"/>
    </row>
    <row r="24" spans="1:18" ht="15.75" customHeight="1">
      <c r="A24" s="101" t="e">
        <f>#REF!&amp;#REF!</f>
        <v>#REF!</v>
      </c>
      <c r="E24" s="133"/>
      <c r="F24" s="115"/>
      <c r="G24" s="376"/>
      <c r="H24" s="376"/>
      <c r="I24" s="115"/>
      <c r="J24" s="115"/>
      <c r="K24" s="115"/>
      <c r="L24" s="115" t="e">
        <f>"评估人员："&amp;#REF!</f>
        <v>#REF!</v>
      </c>
    </row>
    <row r="25" spans="1:18" ht="15.75" customHeight="1">
      <c r="A25" s="4" t="e">
        <f>CONCATENATE(#REF!,#REF!,#REF!,#REF!,#REF!,#REF!,#REF!)</f>
        <v>#REF!</v>
      </c>
      <c r="E25" s="133"/>
      <c r="G25" s="377"/>
      <c r="H25" s="377"/>
      <c r="I25" s="133"/>
      <c r="J25" s="133"/>
      <c r="K25" s="133"/>
    </row>
    <row r="26" spans="1:18" ht="15.75" customHeight="1">
      <c r="A26" s="116"/>
      <c r="B26" s="106" t="s">
        <v>360</v>
      </c>
      <c r="C26" s="106"/>
      <c r="D26" s="4" t="s">
        <v>295</v>
      </c>
      <c r="E26" s="133"/>
      <c r="G26" s="377"/>
      <c r="H26" s="377"/>
      <c r="I26" s="133"/>
      <c r="J26" s="133"/>
      <c r="K26" s="133"/>
    </row>
    <row r="27" spans="1:18" ht="15.75" customHeight="1">
      <c r="A27" s="116"/>
      <c r="D27" s="4" t="s">
        <v>296</v>
      </c>
      <c r="E27" s="133"/>
      <c r="G27" s="377"/>
      <c r="H27" s="377"/>
      <c r="I27" s="133"/>
      <c r="J27" s="133"/>
      <c r="K27" s="133"/>
    </row>
  </sheetData>
  <mergeCells count="14">
    <mergeCell ref="R5:R6"/>
    <mergeCell ref="A23:B23"/>
    <mergeCell ref="C5:C6"/>
    <mergeCell ref="E5:H5"/>
    <mergeCell ref="A2:Q2"/>
    <mergeCell ref="A5:A6"/>
    <mergeCell ref="B5:B6"/>
    <mergeCell ref="A3:Q3"/>
    <mergeCell ref="Q5:Q6"/>
    <mergeCell ref="P5:P6"/>
    <mergeCell ref="D5:D6"/>
    <mergeCell ref="I5:I6"/>
    <mergeCell ref="J5:L5"/>
    <mergeCell ref="M5:O5"/>
  </mergeCells>
  <phoneticPr fontId="6" type="noConversion"/>
  <hyperlinks>
    <hyperlink ref="A1" location="索引目录!E20" display="在库周转材料"/>
    <hyperlink ref="B1" location="存货汇总!B8" display="在库周转材料"/>
  </hyperlinks>
  <printOptions horizontalCentered="1"/>
  <pageMargins left="0.35433070866141736" right="0.35433070866141736" top="0.78740157480314965" bottom="0.78740157480314965" header="1.05" footer="0.51181102362204722"/>
  <pageSetup paperSize="9" scale="67" fitToHeight="0" orientation="landscape" horizontalDpi="4294967292" r:id="rId1"/>
  <headerFooter alignWithMargins="0">
    <oddHeader>&amp;R&amp;"宋体,常规"&amp;10表&amp;"Times New Roman,常规"3-9-3
&amp;"宋体,常规"共&amp;"Times New Roman,常规"&amp;N&amp;"宋体,常规"页第&amp;"Times New Roman,常规"&amp;P&amp;"宋体,常规"页</oddHead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R29"/>
  <sheetViews>
    <sheetView topLeftCell="A2" workbookViewId="0">
      <selection activeCell="H10" sqref="H10"/>
    </sheetView>
  </sheetViews>
  <sheetFormatPr defaultRowHeight="15.75" customHeight="1" outlineLevelCol="1"/>
  <cols>
    <col min="1" max="1" width="5.75" style="4" customWidth="1"/>
    <col min="2" max="2" width="12.875" style="4" customWidth="1"/>
    <col min="3" max="3" width="17.375" style="4" customWidth="1"/>
    <col min="4" max="4" width="11.25" style="4" customWidth="1"/>
    <col min="5" max="5" width="5.125" style="4" customWidth="1"/>
    <col min="6" max="6" width="10.25" style="123" customWidth="1" outlineLevel="1"/>
    <col min="7" max="7" width="6.875" style="123" customWidth="1" outlineLevel="1"/>
    <col min="8" max="8" width="13.125" style="123" customWidth="1" outlineLevel="1"/>
    <col min="9" max="9" width="15.125" style="123" customWidth="1" outlineLevel="1"/>
    <col min="10" max="10" width="13.125" style="123" customWidth="1" outlineLevel="1"/>
    <col min="11" max="12" width="13.125" style="123" customWidth="1"/>
    <col min="13" max="13" width="10.625" style="123" customWidth="1"/>
    <col min="14" max="14" width="7.25" style="4" customWidth="1"/>
    <col min="15" max="15" width="8.5" style="123" customWidth="1"/>
    <col min="16" max="16" width="12.25" style="123" customWidth="1"/>
    <col min="17" max="17" width="7" style="123" customWidth="1"/>
    <col min="18" max="18" width="8.125" style="4" customWidth="1"/>
    <col min="19" max="16384" width="9" style="4"/>
  </cols>
  <sheetData>
    <row r="1" spans="1:18" ht="14.25">
      <c r="A1" s="272" t="s">
        <v>130</v>
      </c>
      <c r="B1" s="200" t="s">
        <v>132</v>
      </c>
      <c r="C1" s="200"/>
      <c r="D1" s="116"/>
      <c r="E1" s="116"/>
      <c r="F1" s="116"/>
      <c r="G1" s="116"/>
      <c r="H1" s="116"/>
      <c r="I1" s="116"/>
      <c r="J1" s="116"/>
      <c r="K1" s="116"/>
      <c r="L1" s="116"/>
      <c r="M1" s="116"/>
      <c r="N1" s="116"/>
      <c r="O1" s="116"/>
      <c r="P1" s="116"/>
      <c r="Q1" s="116"/>
      <c r="R1" s="116"/>
    </row>
    <row r="2" spans="1:18" s="114" customFormat="1" ht="30" customHeight="1">
      <c r="A2" s="790" t="s">
        <v>898</v>
      </c>
      <c r="B2" s="828"/>
      <c r="C2" s="828"/>
      <c r="D2" s="828"/>
      <c r="E2" s="828"/>
      <c r="F2" s="828"/>
      <c r="G2" s="828"/>
      <c r="H2" s="828"/>
      <c r="I2" s="828"/>
      <c r="J2" s="828"/>
      <c r="K2" s="828"/>
      <c r="L2" s="828"/>
      <c r="M2" s="828"/>
      <c r="N2" s="828"/>
      <c r="O2" s="828"/>
      <c r="P2" s="828"/>
      <c r="Q2" s="828"/>
      <c r="R2" s="828"/>
    </row>
    <row r="3" spans="1:18" ht="14.1" customHeight="1">
      <c r="A3" s="792" t="e">
        <f>CONCATENATE(#REF!,#REF!,#REF!,#REF!,#REF!,#REF!,#REF!)</f>
        <v>#REF!</v>
      </c>
      <c r="B3" s="792"/>
      <c r="C3" s="792"/>
      <c r="D3" s="792"/>
      <c r="E3" s="792"/>
      <c r="F3" s="792"/>
      <c r="G3" s="792"/>
      <c r="H3" s="808"/>
      <c r="I3" s="808"/>
      <c r="J3" s="808"/>
      <c r="K3" s="808"/>
      <c r="L3" s="808"/>
      <c r="M3" s="808"/>
      <c r="N3" s="808"/>
      <c r="O3" s="808"/>
      <c r="P3" s="808"/>
      <c r="Q3" s="808"/>
      <c r="R3" s="808"/>
    </row>
    <row r="4" spans="1:18" ht="15.75" customHeight="1">
      <c r="A4" s="115" t="e">
        <f>#REF!&amp;#REF!</f>
        <v>#REF!</v>
      </c>
      <c r="R4" s="106" t="s">
        <v>3</v>
      </c>
    </row>
    <row r="5" spans="1:18" s="1" customFormat="1" ht="15.75" customHeight="1">
      <c r="A5" s="815" t="s">
        <v>4</v>
      </c>
      <c r="B5" s="815" t="s">
        <v>931</v>
      </c>
      <c r="C5" s="815" t="s">
        <v>932</v>
      </c>
      <c r="D5" s="815" t="s">
        <v>297</v>
      </c>
      <c r="E5" s="817" t="s">
        <v>267</v>
      </c>
      <c r="F5" s="821" t="s">
        <v>426</v>
      </c>
      <c r="G5" s="822"/>
      <c r="H5" s="822"/>
      <c r="I5" s="823"/>
      <c r="J5" s="819" t="s">
        <v>714</v>
      </c>
      <c r="K5" s="831" t="s">
        <v>315</v>
      </c>
      <c r="L5" s="832"/>
      <c r="M5" s="833"/>
      <c r="N5" s="834" t="s">
        <v>0</v>
      </c>
      <c r="O5" s="835"/>
      <c r="P5" s="836"/>
      <c r="Q5" s="829" t="s">
        <v>20</v>
      </c>
      <c r="R5" s="815" t="s">
        <v>72</v>
      </c>
    </row>
    <row r="6" spans="1:18" s="116" customFormat="1" ht="15.75" customHeight="1">
      <c r="A6" s="816"/>
      <c r="B6" s="816"/>
      <c r="C6" s="816"/>
      <c r="D6" s="816"/>
      <c r="E6" s="818"/>
      <c r="F6" s="373" t="s">
        <v>87</v>
      </c>
      <c r="G6" s="373" t="s">
        <v>264</v>
      </c>
      <c r="H6" s="386" t="s">
        <v>942</v>
      </c>
      <c r="I6" s="387" t="s">
        <v>944</v>
      </c>
      <c r="J6" s="820"/>
      <c r="K6" s="102" t="s">
        <v>87</v>
      </c>
      <c r="L6" s="102" t="s">
        <v>264</v>
      </c>
      <c r="M6" s="102" t="s">
        <v>71</v>
      </c>
      <c r="N6" s="283" t="s">
        <v>262</v>
      </c>
      <c r="O6" s="104" t="s">
        <v>264</v>
      </c>
      <c r="P6" s="104" t="s">
        <v>71</v>
      </c>
      <c r="Q6" s="830"/>
      <c r="R6" s="816"/>
    </row>
    <row r="7" spans="1:18" ht="15.75" customHeight="1">
      <c r="A7" s="127"/>
      <c r="B7" s="131"/>
      <c r="C7" s="131"/>
      <c r="D7" s="105"/>
      <c r="E7" s="134"/>
      <c r="F7" s="279"/>
      <c r="G7" s="142" t="str">
        <f>IF(F7=0,"",H7/F7)</f>
        <v/>
      </c>
      <c r="H7" s="160"/>
      <c r="I7" s="160"/>
      <c r="J7" s="160"/>
      <c r="K7" s="160"/>
      <c r="L7" s="160"/>
      <c r="M7" s="142"/>
      <c r="N7" s="162"/>
      <c r="O7" s="142"/>
      <c r="P7" s="142"/>
      <c r="Q7" s="142" t="str">
        <f>IF(M7=0,"",(P7-M7)/M7*100)</f>
        <v/>
      </c>
      <c r="R7" s="120"/>
    </row>
    <row r="8" spans="1:18" ht="15.75" customHeight="1">
      <c r="A8" s="105"/>
      <c r="B8" s="111"/>
      <c r="C8" s="111"/>
      <c r="D8" s="105"/>
      <c r="E8" s="120"/>
      <c r="F8" s="280"/>
      <c r="G8" s="142" t="str">
        <f t="shared" ref="G8:G24" si="0">IF(F8=0,"",H8/F8)</f>
        <v/>
      </c>
      <c r="H8" s="161"/>
      <c r="I8" s="161"/>
      <c r="J8" s="161"/>
      <c r="K8" s="161"/>
      <c r="L8" s="161"/>
      <c r="M8" s="142"/>
      <c r="N8" s="162"/>
      <c r="O8" s="142"/>
      <c r="P8" s="142"/>
      <c r="Q8" s="142" t="str">
        <f t="shared" ref="Q8:Q25" si="1">IF(M8=0,"",(P8-M8)/M8*100)</f>
        <v/>
      </c>
      <c r="R8" s="120"/>
    </row>
    <row r="9" spans="1:18" ht="15.75" customHeight="1">
      <c r="A9" s="105"/>
      <c r="B9" s="128"/>
      <c r="C9" s="128"/>
      <c r="D9" s="105"/>
      <c r="E9" s="120"/>
      <c r="F9" s="280"/>
      <c r="G9" s="142" t="str">
        <f t="shared" si="0"/>
        <v/>
      </c>
      <c r="H9" s="161"/>
      <c r="I9" s="161"/>
      <c r="J9" s="161"/>
      <c r="K9" s="161"/>
      <c r="L9" s="161"/>
      <c r="M9" s="142"/>
      <c r="N9" s="162"/>
      <c r="O9" s="142"/>
      <c r="P9" s="142"/>
      <c r="Q9" s="142" t="str">
        <f t="shared" si="1"/>
        <v/>
      </c>
      <c r="R9" s="120"/>
    </row>
    <row r="10" spans="1:18" ht="15.75" customHeight="1">
      <c r="A10" s="105"/>
      <c r="B10" s="128"/>
      <c r="C10" s="128"/>
      <c r="D10" s="105"/>
      <c r="E10" s="120"/>
      <c r="F10" s="280"/>
      <c r="G10" s="142" t="str">
        <f t="shared" si="0"/>
        <v/>
      </c>
      <c r="H10" s="161"/>
      <c r="I10" s="161"/>
      <c r="J10" s="161"/>
      <c r="K10" s="161"/>
      <c r="L10" s="161"/>
      <c r="M10" s="142"/>
      <c r="N10" s="162"/>
      <c r="O10" s="142"/>
      <c r="P10" s="142"/>
      <c r="Q10" s="142" t="str">
        <f t="shared" si="1"/>
        <v/>
      </c>
      <c r="R10" s="120"/>
    </row>
    <row r="11" spans="1:18" ht="15.75" customHeight="1">
      <c r="A11" s="105"/>
      <c r="B11" s="128"/>
      <c r="C11" s="128"/>
      <c r="D11" s="105"/>
      <c r="E11" s="120"/>
      <c r="F11" s="280"/>
      <c r="G11" s="142" t="str">
        <f t="shared" si="0"/>
        <v/>
      </c>
      <c r="H11" s="161"/>
      <c r="I11" s="161"/>
      <c r="J11" s="161"/>
      <c r="K11" s="161"/>
      <c r="L11" s="161"/>
      <c r="M11" s="142"/>
      <c r="N11" s="162"/>
      <c r="O11" s="142"/>
      <c r="P11" s="142"/>
      <c r="Q11" s="142" t="str">
        <f t="shared" si="1"/>
        <v/>
      </c>
      <c r="R11" s="120"/>
    </row>
    <row r="12" spans="1:18" ht="15.75" customHeight="1">
      <c r="A12" s="105"/>
      <c r="B12" s="128"/>
      <c r="C12" s="128"/>
      <c r="D12" s="105"/>
      <c r="E12" s="120"/>
      <c r="F12" s="280"/>
      <c r="G12" s="142" t="str">
        <f t="shared" si="0"/>
        <v/>
      </c>
      <c r="H12" s="161"/>
      <c r="I12" s="161"/>
      <c r="J12" s="161"/>
      <c r="K12" s="161"/>
      <c r="L12" s="161"/>
      <c r="M12" s="142"/>
      <c r="N12" s="162"/>
      <c r="O12" s="142"/>
      <c r="P12" s="142"/>
      <c r="Q12" s="142" t="str">
        <f t="shared" si="1"/>
        <v/>
      </c>
      <c r="R12" s="120"/>
    </row>
    <row r="13" spans="1:18" ht="15.75" customHeight="1">
      <c r="A13" s="105"/>
      <c r="B13" s="128"/>
      <c r="C13" s="128"/>
      <c r="D13" s="105"/>
      <c r="E13" s="120"/>
      <c r="F13" s="280"/>
      <c r="G13" s="142" t="str">
        <f t="shared" si="0"/>
        <v/>
      </c>
      <c r="H13" s="161"/>
      <c r="I13" s="161"/>
      <c r="J13" s="161"/>
      <c r="K13" s="161"/>
      <c r="L13" s="161"/>
      <c r="M13" s="142"/>
      <c r="N13" s="162"/>
      <c r="O13" s="142"/>
      <c r="P13" s="142"/>
      <c r="Q13" s="142" t="str">
        <f t="shared" si="1"/>
        <v/>
      </c>
      <c r="R13" s="120"/>
    </row>
    <row r="14" spans="1:18" ht="15.75" customHeight="1">
      <c r="A14" s="105"/>
      <c r="B14" s="111"/>
      <c r="C14" s="111"/>
      <c r="D14" s="105"/>
      <c r="E14" s="120"/>
      <c r="F14" s="280"/>
      <c r="G14" s="142" t="str">
        <f t="shared" si="0"/>
        <v/>
      </c>
      <c r="H14" s="161"/>
      <c r="I14" s="161"/>
      <c r="J14" s="161"/>
      <c r="K14" s="161"/>
      <c r="L14" s="161"/>
      <c r="M14" s="142"/>
      <c r="N14" s="162"/>
      <c r="O14" s="142"/>
      <c r="P14" s="142"/>
      <c r="Q14" s="142" t="str">
        <f t="shared" si="1"/>
        <v/>
      </c>
      <c r="R14" s="120"/>
    </row>
    <row r="15" spans="1:18" ht="15.75" customHeight="1">
      <c r="A15" s="105"/>
      <c r="B15" s="111"/>
      <c r="C15" s="111"/>
      <c r="D15" s="105"/>
      <c r="E15" s="120"/>
      <c r="F15" s="280"/>
      <c r="G15" s="142" t="str">
        <f t="shared" si="0"/>
        <v/>
      </c>
      <c r="H15" s="161"/>
      <c r="I15" s="161"/>
      <c r="J15" s="161"/>
      <c r="K15" s="161"/>
      <c r="L15" s="161"/>
      <c r="M15" s="142"/>
      <c r="N15" s="162"/>
      <c r="O15" s="142"/>
      <c r="P15" s="142"/>
      <c r="Q15" s="142" t="str">
        <f t="shared" si="1"/>
        <v/>
      </c>
      <c r="R15" s="120"/>
    </row>
    <row r="16" spans="1:18" ht="15.75" customHeight="1">
      <c r="A16" s="105"/>
      <c r="B16" s="128"/>
      <c r="C16" s="128"/>
      <c r="D16" s="105"/>
      <c r="E16" s="120"/>
      <c r="F16" s="280"/>
      <c r="G16" s="142" t="str">
        <f t="shared" si="0"/>
        <v/>
      </c>
      <c r="H16" s="161"/>
      <c r="I16" s="161"/>
      <c r="J16" s="161"/>
      <c r="K16" s="161"/>
      <c r="L16" s="161"/>
      <c r="M16" s="142"/>
      <c r="N16" s="162"/>
      <c r="O16" s="142"/>
      <c r="P16" s="142"/>
      <c r="Q16" s="142" t="str">
        <f t="shared" si="1"/>
        <v/>
      </c>
      <c r="R16" s="120"/>
    </row>
    <row r="17" spans="1:18" ht="15.75" customHeight="1">
      <c r="A17" s="105"/>
      <c r="B17" s="128"/>
      <c r="C17" s="128"/>
      <c r="D17" s="105"/>
      <c r="E17" s="120"/>
      <c r="F17" s="280"/>
      <c r="G17" s="142" t="str">
        <f t="shared" si="0"/>
        <v/>
      </c>
      <c r="H17" s="161"/>
      <c r="I17" s="161"/>
      <c r="J17" s="161"/>
      <c r="K17" s="161"/>
      <c r="L17" s="161"/>
      <c r="M17" s="142"/>
      <c r="N17" s="162"/>
      <c r="O17" s="142"/>
      <c r="P17" s="142"/>
      <c r="Q17" s="142" t="str">
        <f t="shared" si="1"/>
        <v/>
      </c>
      <c r="R17" s="120"/>
    </row>
    <row r="18" spans="1:18" ht="15.75" customHeight="1">
      <c r="A18" s="105"/>
      <c r="B18" s="128"/>
      <c r="C18" s="128"/>
      <c r="D18" s="105"/>
      <c r="E18" s="120"/>
      <c r="F18" s="280"/>
      <c r="G18" s="142" t="str">
        <f t="shared" si="0"/>
        <v/>
      </c>
      <c r="H18" s="161"/>
      <c r="I18" s="161"/>
      <c r="J18" s="161"/>
      <c r="K18" s="161"/>
      <c r="L18" s="161"/>
      <c r="M18" s="142"/>
      <c r="N18" s="162"/>
      <c r="O18" s="142"/>
      <c r="P18" s="142"/>
      <c r="Q18" s="142" t="str">
        <f t="shared" si="1"/>
        <v/>
      </c>
      <c r="R18" s="120"/>
    </row>
    <row r="19" spans="1:18" ht="15.75" customHeight="1">
      <c r="A19" s="105"/>
      <c r="B19" s="128"/>
      <c r="C19" s="128"/>
      <c r="D19" s="105"/>
      <c r="E19" s="120"/>
      <c r="F19" s="280"/>
      <c r="G19" s="142" t="str">
        <f t="shared" si="0"/>
        <v/>
      </c>
      <c r="H19" s="161"/>
      <c r="I19" s="161"/>
      <c r="J19" s="161"/>
      <c r="K19" s="161"/>
      <c r="L19" s="161"/>
      <c r="M19" s="142"/>
      <c r="N19" s="162"/>
      <c r="O19" s="142"/>
      <c r="P19" s="142"/>
      <c r="Q19" s="142" t="str">
        <f t="shared" si="1"/>
        <v/>
      </c>
      <c r="R19" s="120"/>
    </row>
    <row r="20" spans="1:18" ht="15.75" customHeight="1">
      <c r="A20" s="105"/>
      <c r="B20" s="128"/>
      <c r="C20" s="128"/>
      <c r="D20" s="105"/>
      <c r="E20" s="120"/>
      <c r="F20" s="280"/>
      <c r="G20" s="142" t="str">
        <f t="shared" si="0"/>
        <v/>
      </c>
      <c r="H20" s="161"/>
      <c r="I20" s="161"/>
      <c r="J20" s="161"/>
      <c r="K20" s="161"/>
      <c r="L20" s="161"/>
      <c r="M20" s="142"/>
      <c r="N20" s="162"/>
      <c r="O20" s="142"/>
      <c r="P20" s="142"/>
      <c r="Q20" s="142" t="str">
        <f t="shared" si="1"/>
        <v/>
      </c>
      <c r="R20" s="120"/>
    </row>
    <row r="21" spans="1:18" ht="15.75" customHeight="1">
      <c r="A21" s="105"/>
      <c r="B21" s="128"/>
      <c r="C21" s="128"/>
      <c r="D21" s="105"/>
      <c r="E21" s="120"/>
      <c r="F21" s="280"/>
      <c r="G21" s="142" t="str">
        <f t="shared" si="0"/>
        <v/>
      </c>
      <c r="H21" s="161"/>
      <c r="I21" s="161"/>
      <c r="J21" s="161"/>
      <c r="K21" s="161"/>
      <c r="L21" s="161"/>
      <c r="M21" s="142"/>
      <c r="N21" s="162"/>
      <c r="O21" s="142"/>
      <c r="P21" s="142"/>
      <c r="Q21" s="142" t="str">
        <f t="shared" si="1"/>
        <v/>
      </c>
      <c r="R21" s="120"/>
    </row>
    <row r="22" spans="1:18" ht="15.75" customHeight="1">
      <c r="A22" s="105"/>
      <c r="B22" s="111"/>
      <c r="C22" s="111"/>
      <c r="D22" s="105"/>
      <c r="E22" s="120"/>
      <c r="F22" s="280"/>
      <c r="G22" s="142" t="str">
        <f t="shared" si="0"/>
        <v/>
      </c>
      <c r="H22" s="161"/>
      <c r="I22" s="161"/>
      <c r="J22" s="161"/>
      <c r="K22" s="161"/>
      <c r="L22" s="161"/>
      <c r="M22" s="142"/>
      <c r="N22" s="162"/>
      <c r="O22" s="142"/>
      <c r="P22" s="142"/>
      <c r="Q22" s="142" t="str">
        <f t="shared" si="1"/>
        <v/>
      </c>
      <c r="R22" s="120"/>
    </row>
    <row r="23" spans="1:18" ht="15.75" customHeight="1">
      <c r="A23" s="105"/>
      <c r="B23" s="111"/>
      <c r="C23" s="111"/>
      <c r="D23" s="105"/>
      <c r="E23" s="120"/>
      <c r="F23" s="280"/>
      <c r="G23" s="142" t="str">
        <f t="shared" si="0"/>
        <v/>
      </c>
      <c r="H23" s="161"/>
      <c r="I23" s="161"/>
      <c r="J23" s="161"/>
      <c r="K23" s="161"/>
      <c r="L23" s="161"/>
      <c r="M23" s="142"/>
      <c r="N23" s="162"/>
      <c r="O23" s="142"/>
      <c r="P23" s="142"/>
      <c r="Q23" s="142" t="str">
        <f t="shared" si="1"/>
        <v/>
      </c>
      <c r="R23" s="120"/>
    </row>
    <row r="24" spans="1:18" ht="15.75" customHeight="1">
      <c r="A24" s="105"/>
      <c r="B24" s="128"/>
      <c r="C24" s="128"/>
      <c r="D24" s="105"/>
      <c r="E24" s="120"/>
      <c r="F24" s="280"/>
      <c r="G24" s="142" t="str">
        <f t="shared" si="0"/>
        <v/>
      </c>
      <c r="H24" s="161"/>
      <c r="I24" s="161"/>
      <c r="J24" s="161"/>
      <c r="K24" s="161"/>
      <c r="L24" s="161"/>
      <c r="M24" s="142"/>
      <c r="N24" s="162"/>
      <c r="O24" s="142"/>
      <c r="P24" s="142"/>
      <c r="Q24" s="142" t="str">
        <f t="shared" si="1"/>
        <v/>
      </c>
      <c r="R24" s="120"/>
    </row>
    <row r="25" spans="1:18" ht="15.75" customHeight="1">
      <c r="A25" s="105"/>
      <c r="B25" s="128"/>
      <c r="C25" s="128"/>
      <c r="D25" s="105"/>
      <c r="E25" s="120"/>
      <c r="F25" s="280"/>
      <c r="G25" s="142" t="str">
        <f>IF(F25=0,"",H25/F25)</f>
        <v/>
      </c>
      <c r="H25" s="161"/>
      <c r="I25" s="161"/>
      <c r="J25" s="161"/>
      <c r="K25" s="161"/>
      <c r="L25" s="161"/>
      <c r="M25" s="142"/>
      <c r="N25" s="162"/>
      <c r="O25" s="142"/>
      <c r="P25" s="142"/>
      <c r="Q25" s="142" t="str">
        <f t="shared" si="1"/>
        <v/>
      </c>
      <c r="R25" s="120"/>
    </row>
    <row r="26" spans="1:18" ht="15.75" customHeight="1">
      <c r="A26" s="105"/>
      <c r="B26" s="128"/>
      <c r="C26" s="128"/>
      <c r="D26" s="105"/>
      <c r="E26" s="120"/>
      <c r="F26" s="280"/>
      <c r="G26" s="161"/>
      <c r="H26" s="161"/>
      <c r="I26" s="161"/>
      <c r="J26" s="161"/>
      <c r="K26" s="161"/>
      <c r="L26" s="161"/>
      <c r="M26" s="142"/>
      <c r="N26" s="162"/>
      <c r="O26" s="142"/>
      <c r="P26" s="142"/>
      <c r="Q26" s="142"/>
      <c r="R26" s="120"/>
    </row>
    <row r="27" spans="1:18" ht="15.75" customHeight="1">
      <c r="A27" s="809" t="s">
        <v>54</v>
      </c>
      <c r="B27" s="810"/>
      <c r="C27" s="110"/>
      <c r="D27" s="105"/>
      <c r="E27" s="120"/>
      <c r="F27" s="162"/>
      <c r="G27" s="142"/>
      <c r="H27" s="142">
        <f>SUM(H7:H26)</f>
        <v>0</v>
      </c>
      <c r="I27" s="142"/>
      <c r="J27" s="142"/>
      <c r="K27" s="142"/>
      <c r="L27" s="142"/>
      <c r="M27" s="142">
        <f>SUM(M7:M26)</f>
        <v>0</v>
      </c>
      <c r="N27" s="162"/>
      <c r="O27" s="142"/>
      <c r="P27" s="142">
        <f>SUM(P7:P26)</f>
        <v>0</v>
      </c>
      <c r="Q27" s="142" t="str">
        <f>IF(M27=0,"",(P27-M27)/M27*100)</f>
        <v/>
      </c>
      <c r="R27" s="120"/>
    </row>
    <row r="28" spans="1:18" ht="15.75" customHeight="1">
      <c r="A28" s="101" t="e">
        <f>#REF!&amp;#REF!</f>
        <v>#REF!</v>
      </c>
      <c r="M28" s="115" t="e">
        <f>"评估人员："&amp;#REF!</f>
        <v>#REF!</v>
      </c>
    </row>
    <row r="29" spans="1:18" ht="15.75" customHeight="1">
      <c r="A29" s="101" t="e">
        <f>CONCATENATE(#REF!,#REF!,#REF!,#REF!,#REF!,#REF!,#REF!)</f>
        <v>#REF!</v>
      </c>
    </row>
  </sheetData>
  <mergeCells count="14">
    <mergeCell ref="A27:B27"/>
    <mergeCell ref="R5:R6"/>
    <mergeCell ref="D5:D6"/>
    <mergeCell ref="A2:R2"/>
    <mergeCell ref="E5:E6"/>
    <mergeCell ref="A3:R3"/>
    <mergeCell ref="A5:A6"/>
    <mergeCell ref="B5:B6"/>
    <mergeCell ref="Q5:Q6"/>
    <mergeCell ref="C5:C6"/>
    <mergeCell ref="F5:I5"/>
    <mergeCell ref="J5:J6"/>
    <mergeCell ref="K5:M5"/>
    <mergeCell ref="N5:P5"/>
  </mergeCells>
  <phoneticPr fontId="6" type="noConversion"/>
  <hyperlinks>
    <hyperlink ref="A1" location="索引目录!E21" display="委托加工物资"/>
    <hyperlink ref="B1" location="存货汇总!B9" display="委托加工物资"/>
  </hyperlinks>
  <printOptions horizontalCentered="1"/>
  <pageMargins left="0.35433070866141736" right="0.35433070866141736" top="0.78740157480314965" bottom="0.78740157480314965" header="1.06" footer="0.51181102362204722"/>
  <pageSetup paperSize="9" scale="68" fitToHeight="0" orientation="landscape" horizontalDpi="4294967292" r:id="rId1"/>
  <headerFooter alignWithMargins="0">
    <oddHeader>&amp;R&amp;"宋体,常规"&amp;10表&amp;"Times New Roman,常规"3-9-4
&amp;"宋体,常规"共&amp;"Times New Roman,常规"&amp;N&amp;"宋体,常规"页第&amp;"Times New Roman,常规"&amp;P&amp;"宋体,常规"页</oddHead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pageSetUpPr fitToPage="1"/>
  </sheetPr>
  <dimension ref="A1:AJ30"/>
  <sheetViews>
    <sheetView workbookViewId="0">
      <pane xSplit="9" ySplit="6" topLeftCell="J7" activePane="bottomRight" state="frozen"/>
      <selection activeCell="M7" sqref="M7"/>
      <selection pane="topRight" activeCell="M7" sqref="M7"/>
      <selection pane="bottomLeft" activeCell="M7" sqref="M7"/>
      <selection pane="bottomRight" activeCell="M7" sqref="M7"/>
    </sheetView>
  </sheetViews>
  <sheetFormatPr defaultRowHeight="15.75" customHeight="1" outlineLevelCol="1"/>
  <cols>
    <col min="1" max="1" width="5.875" style="4" customWidth="1"/>
    <col min="2" max="2" width="12.75" style="4" customWidth="1"/>
    <col min="3" max="3" width="12.375" style="4" customWidth="1"/>
    <col min="4" max="4" width="4.875" style="4" customWidth="1"/>
    <col min="5" max="5" width="7.5" style="4" hidden="1" customWidth="1" outlineLevel="1"/>
    <col min="6" max="6" width="8.125" style="4" hidden="1" customWidth="1" outlineLevel="1"/>
    <col min="7" max="7" width="11.625" style="133" hidden="1" customWidth="1" outlineLevel="1"/>
    <col min="8" max="8" width="5.75" style="133" hidden="1" customWidth="1" outlineLevel="1"/>
    <col min="9" max="9" width="5.375" style="133" hidden="1" customWidth="1" outlineLevel="1"/>
    <col min="10" max="10" width="7.25" style="133" customWidth="1" collapsed="1"/>
    <col min="11" max="11" width="9.375" style="133" customWidth="1"/>
    <col min="12" max="12" width="11.375" style="4" bestFit="1" customWidth="1"/>
    <col min="13" max="13" width="6.75" style="4" customWidth="1"/>
    <col min="14" max="14" width="8.125" style="4" customWidth="1"/>
    <col min="15" max="15" width="10.125" style="4" customWidth="1"/>
    <col min="16" max="16" width="5.875" style="4" customWidth="1"/>
    <col min="17" max="17" width="6" style="4" customWidth="1"/>
    <col min="18" max="18" width="4.75" style="4" customWidth="1"/>
    <col min="19" max="19" width="4.625" style="4" customWidth="1"/>
    <col min="20" max="20" width="22.75" style="4" customWidth="1" outlineLevel="1"/>
    <col min="21" max="21" width="10.875" style="4" customWidth="1" outlineLevel="1"/>
    <col min="22" max="22" width="13" style="4" customWidth="1" outlineLevel="1"/>
    <col min="23" max="23" width="19.75" style="4" customWidth="1" outlineLevel="1"/>
    <col min="24" max="24" width="14.625" style="4" customWidth="1" outlineLevel="1"/>
    <col min="25" max="25" width="20.75" style="4" customWidth="1" outlineLevel="1"/>
    <col min="26" max="35" width="9" style="4" outlineLevel="1"/>
    <col min="36" max="16384" width="9" style="4"/>
  </cols>
  <sheetData>
    <row r="1" spans="1:36" ht="9" customHeight="1">
      <c r="A1" s="272" t="s">
        <v>130</v>
      </c>
      <c r="B1" s="196" t="s">
        <v>132</v>
      </c>
      <c r="C1" s="196"/>
      <c r="D1" s="1"/>
      <c r="E1" s="1"/>
      <c r="F1" s="1"/>
      <c r="G1" s="1"/>
      <c r="H1" s="1"/>
      <c r="I1" s="1"/>
      <c r="J1" s="1"/>
      <c r="K1" s="1"/>
      <c r="L1" s="1"/>
      <c r="M1" s="1"/>
      <c r="N1" s="1"/>
      <c r="O1" s="1"/>
      <c r="P1" s="1"/>
      <c r="Q1" s="1"/>
    </row>
    <row r="2" spans="1:36" s="114" customFormat="1" ht="23.25" customHeight="1">
      <c r="A2" s="790" t="s">
        <v>897</v>
      </c>
      <c r="B2" s="791"/>
      <c r="C2" s="791"/>
      <c r="D2" s="791"/>
      <c r="E2" s="791"/>
      <c r="F2" s="791"/>
      <c r="G2" s="791"/>
      <c r="H2" s="791"/>
      <c r="I2" s="791"/>
      <c r="J2" s="791"/>
      <c r="K2" s="791"/>
      <c r="L2" s="791"/>
      <c r="M2" s="791"/>
      <c r="N2" s="791"/>
      <c r="O2" s="791"/>
      <c r="P2" s="791"/>
      <c r="Q2" s="791"/>
    </row>
    <row r="3" spans="1:36" ht="14.1" customHeight="1">
      <c r="A3" s="792" t="e">
        <f>CONCATENATE(#REF!,#REF!,#REF!,#REF!,#REF!,#REF!,#REF!)</f>
        <v>#REF!</v>
      </c>
      <c r="B3" s="792"/>
      <c r="C3" s="792"/>
      <c r="D3" s="792"/>
      <c r="E3" s="792"/>
      <c r="F3" s="792"/>
      <c r="G3" s="808"/>
      <c r="H3" s="808"/>
      <c r="I3" s="808"/>
      <c r="J3" s="808"/>
      <c r="K3" s="808"/>
      <c r="L3" s="808"/>
      <c r="M3" s="808"/>
      <c r="N3" s="808"/>
      <c r="O3" s="808"/>
      <c r="P3" s="808"/>
      <c r="Q3" s="808"/>
      <c r="T3" s="138"/>
      <c r="U3" s="538" t="s">
        <v>1071</v>
      </c>
      <c r="V3" s="538"/>
      <c r="W3" s="566" t="s">
        <v>1072</v>
      </c>
      <c r="X3" s="538" t="s">
        <v>1073</v>
      </c>
      <c r="Y3" s="534"/>
      <c r="Z3" s="534"/>
      <c r="AA3" s="534"/>
      <c r="AB3" s="534"/>
      <c r="AC3" s="534"/>
      <c r="AD3" s="534"/>
      <c r="AE3" s="534"/>
      <c r="AF3" s="534"/>
      <c r="AG3" s="534"/>
      <c r="AH3" s="534"/>
      <c r="AI3" s="534"/>
    </row>
    <row r="4" spans="1:36" ht="15.75" customHeight="1">
      <c r="A4" s="115" t="e">
        <f>#REF!&amp;#REF!</f>
        <v>#REF!</v>
      </c>
      <c r="Q4" s="106" t="s">
        <v>3</v>
      </c>
      <c r="T4" s="536" t="s">
        <v>1075</v>
      </c>
      <c r="U4" s="535">
        <f>AC14</f>
        <v>0.3034</v>
      </c>
      <c r="V4" s="535"/>
      <c r="W4" s="535">
        <f>AC15</f>
        <v>6.2399999999999997E-2</v>
      </c>
      <c r="X4" s="535">
        <f>AC16</f>
        <v>3.5700000000000003E-2</v>
      </c>
      <c r="Y4" s="535">
        <v>0.15</v>
      </c>
      <c r="Z4" s="535"/>
      <c r="AA4" s="535"/>
      <c r="AB4" s="535"/>
      <c r="AC4" s="535"/>
      <c r="AD4" s="535"/>
      <c r="AE4" s="535"/>
      <c r="AF4" s="535"/>
      <c r="AG4" s="535"/>
      <c r="AH4" s="535"/>
      <c r="AI4" s="535"/>
    </row>
    <row r="5" spans="1:36" s="1" customFormat="1" ht="15.75" customHeight="1">
      <c r="A5" s="815" t="s">
        <v>4</v>
      </c>
      <c r="B5" s="815" t="s">
        <v>931</v>
      </c>
      <c r="C5" s="815" t="s">
        <v>932</v>
      </c>
      <c r="D5" s="817" t="s">
        <v>267</v>
      </c>
      <c r="E5" s="821" t="s">
        <v>426</v>
      </c>
      <c r="F5" s="822"/>
      <c r="G5" s="822"/>
      <c r="H5" s="823"/>
      <c r="I5" s="817" t="s">
        <v>1069</v>
      </c>
      <c r="J5" s="824" t="s">
        <v>315</v>
      </c>
      <c r="K5" s="825"/>
      <c r="L5" s="826"/>
      <c r="M5" s="821" t="s">
        <v>0</v>
      </c>
      <c r="N5" s="822"/>
      <c r="O5" s="823"/>
      <c r="P5" s="817" t="s">
        <v>20</v>
      </c>
      <c r="Q5" s="815" t="s">
        <v>72</v>
      </c>
      <c r="R5" s="817" t="s">
        <v>1070</v>
      </c>
      <c r="T5" s="543">
        <v>124.04</v>
      </c>
      <c r="U5" s="537" t="s">
        <v>1074</v>
      </c>
      <c r="V5" s="537"/>
      <c r="W5" s="538"/>
      <c r="X5" s="538"/>
      <c r="Y5" s="538"/>
      <c r="Z5" s="538"/>
      <c r="AA5" s="538"/>
      <c r="AB5" s="538"/>
      <c r="AC5" s="538"/>
      <c r="AD5" s="538"/>
      <c r="AE5" s="538"/>
      <c r="AF5" s="538"/>
      <c r="AG5" s="538"/>
      <c r="AH5" s="538"/>
      <c r="AI5" s="538"/>
    </row>
    <row r="6" spans="1:36" s="116" customFormat="1" ht="15.75" customHeight="1">
      <c r="A6" s="816"/>
      <c r="B6" s="816"/>
      <c r="C6" s="816"/>
      <c r="D6" s="818"/>
      <c r="E6" s="373" t="s">
        <v>87</v>
      </c>
      <c r="F6" s="373" t="s">
        <v>264</v>
      </c>
      <c r="G6" s="386" t="s">
        <v>942</v>
      </c>
      <c r="H6" s="387" t="s">
        <v>943</v>
      </c>
      <c r="I6" s="818"/>
      <c r="J6" s="102" t="s">
        <v>87</v>
      </c>
      <c r="K6" s="102" t="s">
        <v>264</v>
      </c>
      <c r="L6" s="102" t="s">
        <v>71</v>
      </c>
      <c r="M6" s="283" t="s">
        <v>262</v>
      </c>
      <c r="N6" s="102" t="s">
        <v>264</v>
      </c>
      <c r="O6" s="102" t="s">
        <v>71</v>
      </c>
      <c r="P6" s="818"/>
      <c r="Q6" s="816"/>
      <c r="R6" s="818"/>
      <c r="T6" s="539" t="s">
        <v>1076</v>
      </c>
      <c r="U6" s="540"/>
      <c r="V6" s="540"/>
      <c r="W6" s="541" t="s">
        <v>1077</v>
      </c>
      <c r="X6" s="540"/>
      <c r="Y6" s="540"/>
      <c r="Z6" s="540"/>
      <c r="AA6" s="540"/>
      <c r="AB6" s="540"/>
      <c r="AC6" s="540"/>
      <c r="AD6" s="540"/>
      <c r="AE6" s="540"/>
      <c r="AF6" s="540"/>
      <c r="AG6" s="540"/>
      <c r="AH6" s="540"/>
      <c r="AI6" s="540"/>
    </row>
    <row r="7" spans="1:36" s="135" customFormat="1" ht="15.75" customHeight="1">
      <c r="A7" s="153">
        <v>1</v>
      </c>
      <c r="B7" s="131"/>
      <c r="C7" s="374"/>
      <c r="D7" s="134"/>
      <c r="E7" s="279"/>
      <c r="F7" s="142" t="str">
        <f>IF(E7=0,"",G7/E7)</f>
        <v/>
      </c>
      <c r="G7" s="160"/>
      <c r="H7" s="160"/>
      <c r="I7" s="160"/>
      <c r="J7" s="160"/>
      <c r="K7" s="160"/>
      <c r="L7" s="142"/>
      <c r="M7" s="162"/>
      <c r="N7" s="142"/>
      <c r="O7" s="142"/>
      <c r="P7" s="142" t="str">
        <f>IF(L7=0,"",(O7-L7)/L7*100)</f>
        <v/>
      </c>
      <c r="Q7" s="120"/>
      <c r="R7" s="127"/>
      <c r="T7" s="543">
        <f>T5/1.17</f>
        <v>106.02</v>
      </c>
      <c r="U7" s="544"/>
      <c r="V7" s="545"/>
      <c r="W7" s="546">
        <f>ROUND(T7*(1-U4-W4-X4*Y4-X4*(1-Y4)*50%),2)</f>
        <v>65.06</v>
      </c>
      <c r="X7" s="540"/>
      <c r="Y7" s="540"/>
      <c r="Z7" s="540"/>
      <c r="AA7" s="540"/>
      <c r="AB7" s="540"/>
      <c r="AC7" s="540"/>
      <c r="AD7" s="540"/>
      <c r="AE7" s="540"/>
      <c r="AF7" s="540"/>
      <c r="AG7" s="540"/>
      <c r="AH7" s="540"/>
      <c r="AI7" s="540"/>
    </row>
    <row r="8" spans="1:36" ht="15.75" customHeight="1">
      <c r="A8" s="105">
        <v>2</v>
      </c>
      <c r="B8" s="111"/>
      <c r="C8" s="111"/>
      <c r="D8" s="120"/>
      <c r="E8" s="280"/>
      <c r="F8" s="142" t="str">
        <f t="shared" ref="F8:F23" si="0">IF(E8=0,"",G8/E8)</f>
        <v/>
      </c>
      <c r="G8" s="161"/>
      <c r="H8" s="161"/>
      <c r="I8" s="161"/>
      <c r="J8" s="161"/>
      <c r="K8" s="161"/>
      <c r="L8" s="142"/>
      <c r="M8" s="162"/>
      <c r="N8" s="142"/>
      <c r="O8" s="142"/>
      <c r="P8" s="142" t="str">
        <f t="shared" ref="P8:P23" si="1">IF(L8=0,"",(O8-L8)/L8*100)</f>
        <v/>
      </c>
      <c r="Q8" s="120"/>
      <c r="R8" s="120"/>
      <c r="T8" s="543"/>
      <c r="U8" s="544"/>
      <c r="V8" s="545"/>
      <c r="W8" s="545"/>
      <c r="X8" s="534"/>
      <c r="Y8" s="534"/>
      <c r="Z8" s="534"/>
      <c r="AA8" s="534"/>
      <c r="AB8" s="534"/>
      <c r="AC8" s="534"/>
      <c r="AD8" s="534"/>
      <c r="AE8" s="534"/>
      <c r="AF8" s="534"/>
      <c r="AG8" s="534"/>
      <c r="AH8" s="534"/>
      <c r="AI8" s="534"/>
      <c r="AJ8" s="138"/>
    </row>
    <row r="9" spans="1:36" ht="15.75" customHeight="1">
      <c r="A9" s="153">
        <v>3</v>
      </c>
      <c r="B9" s="128"/>
      <c r="C9" s="128"/>
      <c r="D9" s="120"/>
      <c r="E9" s="280"/>
      <c r="F9" s="142" t="str">
        <f t="shared" si="0"/>
        <v/>
      </c>
      <c r="G9" s="161"/>
      <c r="H9" s="161"/>
      <c r="I9" s="161"/>
      <c r="J9" s="161"/>
      <c r="K9" s="161"/>
      <c r="L9" s="142"/>
      <c r="M9" s="162"/>
      <c r="N9" s="142"/>
      <c r="O9" s="142"/>
      <c r="P9" s="142" t="str">
        <f t="shared" si="1"/>
        <v/>
      </c>
      <c r="Q9" s="120"/>
      <c r="R9" s="120"/>
      <c r="T9" s="548"/>
      <c r="U9" s="548" t="s">
        <v>1078</v>
      </c>
      <c r="V9" s="538"/>
      <c r="W9" s="538"/>
      <c r="X9" s="538"/>
      <c r="Y9" s="538"/>
      <c r="Z9" s="538"/>
      <c r="AA9" s="542"/>
      <c r="AB9" s="138"/>
      <c r="AC9" s="138"/>
      <c r="AD9" s="534"/>
      <c r="AE9" s="534"/>
      <c r="AF9" s="534"/>
      <c r="AG9" s="534"/>
      <c r="AH9" s="534"/>
      <c r="AI9" s="534"/>
      <c r="AJ9" s="138"/>
    </row>
    <row r="10" spans="1:36" ht="15.75" customHeight="1">
      <c r="A10" s="105">
        <v>4</v>
      </c>
      <c r="B10" s="128"/>
      <c r="C10" s="128"/>
      <c r="D10" s="120"/>
      <c r="E10" s="280"/>
      <c r="F10" s="142" t="str">
        <f t="shared" si="0"/>
        <v/>
      </c>
      <c r="G10" s="161"/>
      <c r="H10" s="161"/>
      <c r="I10" s="161"/>
      <c r="J10" s="161"/>
      <c r="K10" s="161"/>
      <c r="L10" s="142"/>
      <c r="M10" s="162"/>
      <c r="N10" s="142"/>
      <c r="O10" s="142"/>
      <c r="P10" s="142" t="str">
        <f t="shared" si="1"/>
        <v/>
      </c>
      <c r="Q10" s="120"/>
      <c r="R10" s="120"/>
      <c r="T10" s="548"/>
      <c r="U10" s="548" t="s">
        <v>1079</v>
      </c>
      <c r="V10" s="547"/>
      <c r="W10" s="547"/>
      <c r="X10" s="547"/>
      <c r="Y10" s="547"/>
      <c r="Z10" s="547"/>
      <c r="AA10" s="542"/>
      <c r="AB10" s="138"/>
      <c r="AC10" s="138"/>
      <c r="AD10" s="534"/>
      <c r="AE10" s="534"/>
      <c r="AF10" s="534"/>
      <c r="AG10" s="534"/>
      <c r="AH10" s="534"/>
      <c r="AI10" s="534"/>
      <c r="AJ10" s="138"/>
    </row>
    <row r="11" spans="1:36" ht="15.75" customHeight="1">
      <c r="A11" s="153">
        <v>5</v>
      </c>
      <c r="B11" s="128"/>
      <c r="C11" s="128"/>
      <c r="D11" s="120"/>
      <c r="E11" s="280"/>
      <c r="F11" s="142" t="str">
        <f t="shared" si="0"/>
        <v/>
      </c>
      <c r="G11" s="161"/>
      <c r="H11" s="161"/>
      <c r="I11" s="161"/>
      <c r="J11" s="161"/>
      <c r="K11" s="161"/>
      <c r="L11" s="142"/>
      <c r="M11" s="162"/>
      <c r="N11" s="142"/>
      <c r="O11" s="142"/>
      <c r="P11" s="142" t="str">
        <f t="shared" si="1"/>
        <v/>
      </c>
      <c r="Q11" s="120"/>
      <c r="R11" s="120"/>
      <c r="T11" s="549"/>
      <c r="U11" s="549" t="s">
        <v>1080</v>
      </c>
      <c r="V11" s="547"/>
      <c r="W11" s="547"/>
      <c r="X11" s="547"/>
      <c r="Y11" s="534"/>
      <c r="Z11" s="534"/>
      <c r="AA11" s="542"/>
      <c r="AB11" s="138"/>
      <c r="AC11" s="138"/>
      <c r="AD11" s="534"/>
      <c r="AE11" s="534"/>
      <c r="AF11" s="534"/>
      <c r="AG11" s="534"/>
      <c r="AH11" s="534"/>
      <c r="AI11" s="534"/>
      <c r="AJ11" s="138"/>
    </row>
    <row r="12" spans="1:36" ht="15.75" customHeight="1">
      <c r="A12" s="105">
        <v>6</v>
      </c>
      <c r="B12" s="128"/>
      <c r="C12" s="128"/>
      <c r="D12" s="120"/>
      <c r="E12" s="280"/>
      <c r="F12" s="142" t="str">
        <f t="shared" si="0"/>
        <v/>
      </c>
      <c r="G12" s="161"/>
      <c r="H12" s="161"/>
      <c r="I12" s="161"/>
      <c r="J12" s="161"/>
      <c r="K12" s="161"/>
      <c r="L12" s="142"/>
      <c r="M12" s="162"/>
      <c r="N12" s="142"/>
      <c r="O12" s="142"/>
      <c r="P12" s="142" t="str">
        <f t="shared" si="1"/>
        <v/>
      </c>
      <c r="Q12" s="120"/>
      <c r="R12" s="120"/>
      <c r="T12" s="550"/>
      <c r="U12" s="550" t="s">
        <v>1081</v>
      </c>
      <c r="V12" s="547"/>
      <c r="W12" s="547"/>
      <c r="X12" s="547"/>
      <c r="Y12" s="534"/>
      <c r="Z12" s="534"/>
      <c r="AA12" s="542"/>
      <c r="AB12" s="138"/>
      <c r="AC12" s="138"/>
      <c r="AD12" s="534"/>
      <c r="AE12" s="534"/>
      <c r="AF12" s="534"/>
      <c r="AG12" s="534"/>
      <c r="AH12" s="534"/>
      <c r="AI12" s="534"/>
      <c r="AJ12" s="138"/>
    </row>
    <row r="13" spans="1:36" ht="15.75" customHeight="1">
      <c r="A13" s="153">
        <v>7</v>
      </c>
      <c r="B13" s="128"/>
      <c r="C13" s="128"/>
      <c r="D13" s="120"/>
      <c r="E13" s="280"/>
      <c r="F13" s="142" t="str">
        <f t="shared" si="0"/>
        <v/>
      </c>
      <c r="G13" s="161"/>
      <c r="H13" s="161"/>
      <c r="I13" s="161"/>
      <c r="J13" s="161"/>
      <c r="K13" s="161"/>
      <c r="L13" s="142"/>
      <c r="M13" s="162"/>
      <c r="N13" s="142"/>
      <c r="O13" s="142"/>
      <c r="P13" s="142" t="str">
        <f t="shared" si="1"/>
        <v/>
      </c>
      <c r="Q13" s="120"/>
      <c r="R13" s="120"/>
      <c r="T13" s="552"/>
      <c r="U13" s="552"/>
      <c r="V13" s="553" t="s">
        <v>1082</v>
      </c>
      <c r="W13" s="553" t="s">
        <v>1083</v>
      </c>
      <c r="X13" s="553" t="s">
        <v>1084</v>
      </c>
      <c r="Y13" s="551"/>
      <c r="Z13" s="553" t="s">
        <v>1082</v>
      </c>
      <c r="AA13" s="553" t="s">
        <v>1083</v>
      </c>
      <c r="AB13" s="138" t="s">
        <v>1084</v>
      </c>
      <c r="AC13" s="554" t="s">
        <v>1085</v>
      </c>
      <c r="AD13" s="551"/>
      <c r="AE13" s="551"/>
      <c r="AF13" s="551"/>
      <c r="AG13" s="551"/>
      <c r="AH13" s="551"/>
      <c r="AI13" s="551"/>
    </row>
    <row r="14" spans="1:36" ht="15.75" customHeight="1">
      <c r="A14" s="105">
        <v>8</v>
      </c>
      <c r="B14" s="111"/>
      <c r="C14" s="111"/>
      <c r="D14" s="120"/>
      <c r="E14" s="280"/>
      <c r="F14" s="142" t="str">
        <f t="shared" si="0"/>
        <v/>
      </c>
      <c r="G14" s="161"/>
      <c r="H14" s="161"/>
      <c r="I14" s="161"/>
      <c r="J14" s="161"/>
      <c r="K14" s="161"/>
      <c r="L14" s="142"/>
      <c r="M14" s="162"/>
      <c r="N14" s="142"/>
      <c r="O14" s="142"/>
      <c r="P14" s="142" t="str">
        <f t="shared" si="1"/>
        <v/>
      </c>
      <c r="Q14" s="120"/>
      <c r="R14" s="120"/>
      <c r="T14" s="552"/>
      <c r="U14" s="555" t="s">
        <v>1086</v>
      </c>
      <c r="V14" s="556">
        <v>36663857.490000002</v>
      </c>
      <c r="W14" s="556">
        <v>37107048.939999998</v>
      </c>
      <c r="X14" s="556">
        <v>16547984.310000001</v>
      </c>
      <c r="Y14" s="560" t="s">
        <v>1087</v>
      </c>
      <c r="Z14" s="558">
        <f>V17/V14</f>
        <v>0.3362</v>
      </c>
      <c r="AA14" s="558">
        <f>W17/W14</f>
        <v>0.27050000000000002</v>
      </c>
      <c r="AB14" s="558">
        <f>X17/X14</f>
        <v>0.22020000000000001</v>
      </c>
      <c r="AC14" s="558">
        <f>(Z14+AA14)/2*100%</f>
        <v>0.3034</v>
      </c>
      <c r="AD14" s="534"/>
      <c r="AE14" s="534"/>
      <c r="AF14" s="534"/>
      <c r="AG14" s="534"/>
      <c r="AH14" s="534"/>
      <c r="AI14" s="534"/>
    </row>
    <row r="15" spans="1:36" ht="15.75" customHeight="1">
      <c r="A15" s="153">
        <v>9</v>
      </c>
      <c r="B15" s="111"/>
      <c r="C15" s="111"/>
      <c r="D15" s="120"/>
      <c r="E15" s="280"/>
      <c r="F15" s="142" t="str">
        <f t="shared" si="0"/>
        <v/>
      </c>
      <c r="G15" s="161"/>
      <c r="H15" s="161"/>
      <c r="I15" s="161"/>
      <c r="J15" s="161"/>
      <c r="K15" s="161"/>
      <c r="L15" s="142"/>
      <c r="M15" s="162"/>
      <c r="N15" s="142"/>
      <c r="O15" s="142"/>
      <c r="P15" s="142" t="str">
        <f t="shared" si="1"/>
        <v/>
      </c>
      <c r="Q15" s="120"/>
      <c r="R15" s="120"/>
      <c r="T15" s="552"/>
      <c r="U15" s="555" t="s">
        <v>1088</v>
      </c>
      <c r="V15" s="556">
        <v>16529753.68</v>
      </c>
      <c r="W15" s="556">
        <v>18375034.82</v>
      </c>
      <c r="X15" s="556">
        <v>9236829.9600000009</v>
      </c>
      <c r="Y15" s="560" t="s">
        <v>1089</v>
      </c>
      <c r="Z15" s="558">
        <f>V16/V14</f>
        <v>5.4899999999999997E-2</v>
      </c>
      <c r="AA15" s="558">
        <f>W16/W14</f>
        <v>6.9800000000000001E-2</v>
      </c>
      <c r="AB15" s="558">
        <f>X16/X14</f>
        <v>6.25E-2</v>
      </c>
      <c r="AC15" s="558">
        <f>(Z15+AA15)/2*100%</f>
        <v>6.2399999999999997E-2</v>
      </c>
      <c r="AD15" s="534"/>
      <c r="AE15" s="534"/>
      <c r="AF15" s="534"/>
      <c r="AG15" s="534"/>
      <c r="AH15" s="534"/>
      <c r="AI15" s="534"/>
      <c r="AJ15" s="484"/>
    </row>
    <row r="16" spans="1:36" ht="15.75" customHeight="1">
      <c r="A16" s="153">
        <v>10</v>
      </c>
      <c r="B16" s="128"/>
      <c r="C16" s="128"/>
      <c r="D16" s="120"/>
      <c r="E16" s="280"/>
      <c r="F16" s="142" t="str">
        <f t="shared" si="0"/>
        <v/>
      </c>
      <c r="G16" s="161"/>
      <c r="H16" s="161"/>
      <c r="I16" s="161"/>
      <c r="J16" s="161"/>
      <c r="K16" s="161"/>
      <c r="L16" s="142"/>
      <c r="M16" s="162"/>
      <c r="N16" s="142"/>
      <c r="O16" s="142"/>
      <c r="P16" s="142" t="str">
        <f t="shared" si="1"/>
        <v/>
      </c>
      <c r="Q16" s="120"/>
      <c r="R16" s="120"/>
      <c r="T16" s="552"/>
      <c r="U16" s="555" t="s">
        <v>1090</v>
      </c>
      <c r="V16" s="556">
        <v>2011443.26</v>
      </c>
      <c r="W16" s="556">
        <v>2590520.71</v>
      </c>
      <c r="X16" s="556">
        <v>1034782.49</v>
      </c>
      <c r="Y16" s="560" t="s">
        <v>1091</v>
      </c>
      <c r="Z16" s="558">
        <f>V20/V14</f>
        <v>3.0599999999999999E-2</v>
      </c>
      <c r="AA16" s="558">
        <f>W20/W14</f>
        <v>4.0800000000000003E-2</v>
      </c>
      <c r="AB16" s="558">
        <f>X20/X14</f>
        <v>1.7399999999999999E-2</v>
      </c>
      <c r="AC16" s="558">
        <f>(Z16+AA16)/2*100%</f>
        <v>3.5700000000000003E-2</v>
      </c>
      <c r="AD16" s="534"/>
      <c r="AE16" s="534"/>
      <c r="AF16" s="534"/>
      <c r="AG16" s="534"/>
      <c r="AH16" s="534"/>
      <c r="AI16" s="534"/>
    </row>
    <row r="17" spans="1:36" ht="15.75" customHeight="1">
      <c r="A17" s="153">
        <v>11</v>
      </c>
      <c r="B17" s="128"/>
      <c r="C17" s="128"/>
      <c r="D17" s="120"/>
      <c r="E17" s="280"/>
      <c r="F17" s="142" t="str">
        <f t="shared" si="0"/>
        <v/>
      </c>
      <c r="G17" s="161"/>
      <c r="H17" s="161"/>
      <c r="I17" s="161"/>
      <c r="J17" s="161"/>
      <c r="K17" s="161"/>
      <c r="L17" s="142"/>
      <c r="M17" s="162"/>
      <c r="N17" s="142"/>
      <c r="O17" s="142"/>
      <c r="P17" s="142" t="str">
        <f t="shared" si="1"/>
        <v/>
      </c>
      <c r="Q17" s="120"/>
      <c r="R17" s="120"/>
      <c r="T17" s="552"/>
      <c r="U17" s="555" t="s">
        <v>1092</v>
      </c>
      <c r="V17" s="556">
        <v>12328156.92</v>
      </c>
      <c r="W17" s="556">
        <v>10036677.789999999</v>
      </c>
      <c r="X17" s="556">
        <v>3644005.44</v>
      </c>
      <c r="Y17" s="557"/>
      <c r="Z17" s="557"/>
      <c r="AA17" s="557"/>
      <c r="AB17" s="138"/>
      <c r="AC17" s="138"/>
      <c r="AD17" s="534"/>
      <c r="AE17" s="534"/>
      <c r="AF17" s="534"/>
      <c r="AG17" s="534"/>
      <c r="AH17" s="534"/>
      <c r="AI17" s="534"/>
      <c r="AJ17" s="138"/>
    </row>
    <row r="18" spans="1:36" ht="15.75" customHeight="1">
      <c r="A18" s="153">
        <v>12</v>
      </c>
      <c r="B18" s="128"/>
      <c r="C18" s="128"/>
      <c r="D18" s="120"/>
      <c r="E18" s="280"/>
      <c r="F18" s="142" t="str">
        <f t="shared" si="0"/>
        <v/>
      </c>
      <c r="G18" s="161"/>
      <c r="H18" s="161"/>
      <c r="I18" s="161"/>
      <c r="J18" s="161"/>
      <c r="K18" s="161"/>
      <c r="L18" s="142"/>
      <c r="M18" s="162"/>
      <c r="N18" s="142"/>
      <c r="O18" s="142"/>
      <c r="P18" s="142" t="str">
        <f t="shared" si="1"/>
        <v/>
      </c>
      <c r="Q18" s="120"/>
      <c r="R18" s="120"/>
      <c r="T18" s="552"/>
      <c r="U18" s="559" t="s">
        <v>1093</v>
      </c>
      <c r="V18" s="556">
        <v>3163762.34</v>
      </c>
      <c r="W18" s="556">
        <v>3036992.72</v>
      </c>
      <c r="X18" s="556">
        <v>1464966.47</v>
      </c>
      <c r="Y18" s="560" t="s">
        <v>1094</v>
      </c>
      <c r="Z18" s="561">
        <v>0.5</v>
      </c>
      <c r="AA18" s="561"/>
      <c r="AB18" s="138"/>
      <c r="AC18" s="138"/>
      <c r="AD18" s="534"/>
      <c r="AE18" s="534"/>
      <c r="AF18" s="534"/>
      <c r="AG18" s="534"/>
      <c r="AH18" s="534"/>
      <c r="AI18" s="534"/>
    </row>
    <row r="19" spans="1:36" ht="15.75" customHeight="1">
      <c r="A19" s="153">
        <v>13</v>
      </c>
      <c r="B19" s="128"/>
      <c r="C19" s="128"/>
      <c r="D19" s="120"/>
      <c r="E19" s="280"/>
      <c r="F19" s="142" t="str">
        <f t="shared" si="0"/>
        <v/>
      </c>
      <c r="G19" s="161"/>
      <c r="H19" s="161"/>
      <c r="I19" s="161"/>
      <c r="J19" s="161"/>
      <c r="K19" s="161"/>
      <c r="L19" s="142"/>
      <c r="M19" s="162"/>
      <c r="N19" s="142"/>
      <c r="O19" s="142"/>
      <c r="P19" s="142" t="str">
        <f t="shared" si="1"/>
        <v/>
      </c>
      <c r="Q19" s="120"/>
      <c r="R19" s="120"/>
      <c r="T19" s="552"/>
      <c r="U19" s="559" t="s">
        <v>1095</v>
      </c>
      <c r="V19" s="556">
        <v>1431094.63</v>
      </c>
      <c r="W19" s="556">
        <v>1421282.98</v>
      </c>
      <c r="X19" s="556">
        <v>879065.02</v>
      </c>
      <c r="Y19" s="534"/>
      <c r="Z19" s="534"/>
      <c r="AA19" s="562"/>
      <c r="AB19" s="138"/>
      <c r="AC19" s="138"/>
      <c r="AD19" s="534"/>
      <c r="AE19" s="534"/>
      <c r="AF19" s="534"/>
      <c r="AG19" s="534"/>
      <c r="AH19" s="534"/>
      <c r="AI19" s="534"/>
    </row>
    <row r="20" spans="1:36" ht="15.75" customHeight="1">
      <c r="A20" s="153">
        <v>14</v>
      </c>
      <c r="B20" s="128"/>
      <c r="C20" s="128"/>
      <c r="D20" s="120"/>
      <c r="E20" s="280"/>
      <c r="F20" s="142" t="str">
        <f t="shared" si="0"/>
        <v/>
      </c>
      <c r="G20" s="161"/>
      <c r="H20" s="161"/>
      <c r="I20" s="161"/>
      <c r="J20" s="161"/>
      <c r="K20" s="161"/>
      <c r="L20" s="142"/>
      <c r="M20" s="162"/>
      <c r="N20" s="142"/>
      <c r="O20" s="142"/>
      <c r="P20" s="142" t="str">
        <f t="shared" si="1"/>
        <v/>
      </c>
      <c r="Q20" s="120"/>
      <c r="R20" s="120"/>
      <c r="T20" s="552"/>
      <c r="U20" s="555" t="s">
        <v>1096</v>
      </c>
      <c r="V20" s="563">
        <v>1120347.1200000001</v>
      </c>
      <c r="W20" s="563">
        <v>1512976.98</v>
      </c>
      <c r="X20" s="563">
        <v>288334.93</v>
      </c>
      <c r="Y20" s="534"/>
      <c r="Z20" s="534"/>
      <c r="AA20" s="562"/>
      <c r="AB20" s="138"/>
      <c r="AC20" s="138"/>
      <c r="AD20" s="534"/>
      <c r="AE20" s="534"/>
      <c r="AF20" s="534"/>
      <c r="AG20" s="534"/>
      <c r="AH20" s="534"/>
      <c r="AI20" s="534"/>
    </row>
    <row r="21" spans="1:36" ht="15.75" customHeight="1">
      <c r="A21" s="153">
        <v>16</v>
      </c>
      <c r="B21" s="111"/>
      <c r="C21" s="111"/>
      <c r="D21" s="120"/>
      <c r="E21" s="280"/>
      <c r="F21" s="142" t="str">
        <f t="shared" si="0"/>
        <v/>
      </c>
      <c r="G21" s="161"/>
      <c r="H21" s="161"/>
      <c r="I21" s="161"/>
      <c r="J21" s="161"/>
      <c r="K21" s="161"/>
      <c r="L21" s="142"/>
      <c r="M21" s="162"/>
      <c r="N21" s="142"/>
      <c r="O21" s="142"/>
      <c r="P21" s="142" t="str">
        <f t="shared" si="1"/>
        <v/>
      </c>
      <c r="Q21" s="120"/>
      <c r="R21" s="120"/>
      <c r="T21" s="552"/>
      <c r="U21" s="564" t="s">
        <v>1097</v>
      </c>
      <c r="V21" s="565">
        <v>0.15</v>
      </c>
      <c r="W21" s="565">
        <v>0.15</v>
      </c>
      <c r="X21" s="565">
        <v>0.15</v>
      </c>
      <c r="Y21" s="534"/>
      <c r="Z21" s="551"/>
      <c r="AA21" s="562"/>
      <c r="AB21" s="138"/>
      <c r="AC21" s="138"/>
      <c r="AD21" s="534"/>
      <c r="AE21" s="534"/>
      <c r="AF21" s="534"/>
      <c r="AG21" s="534"/>
      <c r="AH21" s="534"/>
      <c r="AI21" s="534"/>
    </row>
    <row r="22" spans="1:36" ht="15.75" customHeight="1">
      <c r="A22" s="153"/>
      <c r="B22" s="111"/>
      <c r="C22" s="111"/>
      <c r="D22" s="120"/>
      <c r="E22" s="280"/>
      <c r="F22" s="142" t="str">
        <f t="shared" si="0"/>
        <v/>
      </c>
      <c r="G22" s="161"/>
      <c r="H22" s="161"/>
      <c r="I22" s="161"/>
      <c r="J22" s="161"/>
      <c r="K22" s="161"/>
      <c r="L22" s="142"/>
      <c r="M22" s="162"/>
      <c r="N22" s="142"/>
      <c r="O22" s="142"/>
      <c r="P22" s="142" t="str">
        <f t="shared" si="1"/>
        <v/>
      </c>
      <c r="Q22" s="120"/>
      <c r="R22" s="120"/>
      <c r="T22" s="543"/>
      <c r="U22" s="543"/>
      <c r="V22" s="544"/>
      <c r="W22" s="545"/>
      <c r="X22" s="545"/>
      <c r="Y22" s="534"/>
      <c r="Z22" s="534"/>
      <c r="AA22" s="534"/>
      <c r="AB22" s="534"/>
      <c r="AC22" s="534"/>
      <c r="AD22" s="534"/>
      <c r="AE22" s="534"/>
      <c r="AF22" s="534"/>
      <c r="AG22" s="534"/>
      <c r="AH22" s="534"/>
      <c r="AI22" s="534"/>
    </row>
    <row r="23" spans="1:36" ht="15.75" customHeight="1">
      <c r="A23" s="153"/>
      <c r="B23" s="128"/>
      <c r="C23" s="128"/>
      <c r="D23" s="120"/>
      <c r="E23" s="280"/>
      <c r="F23" s="142" t="str">
        <f t="shared" si="0"/>
        <v/>
      </c>
      <c r="G23" s="161"/>
      <c r="H23" s="161"/>
      <c r="I23" s="161"/>
      <c r="J23" s="161"/>
      <c r="K23" s="161"/>
      <c r="L23" s="142"/>
      <c r="M23" s="162"/>
      <c r="N23" s="142"/>
      <c r="O23" s="142"/>
      <c r="P23" s="142" t="str">
        <f t="shared" si="1"/>
        <v/>
      </c>
      <c r="Q23" s="120"/>
      <c r="R23" s="120"/>
    </row>
    <row r="24" spans="1:36" ht="15.75" customHeight="1">
      <c r="A24" s="153"/>
      <c r="B24" s="128"/>
      <c r="C24" s="128"/>
      <c r="D24" s="120"/>
      <c r="E24" s="280"/>
      <c r="F24" s="142"/>
      <c r="G24" s="161"/>
      <c r="H24" s="161"/>
      <c r="I24" s="161"/>
      <c r="J24" s="161"/>
      <c r="K24" s="161"/>
      <c r="L24" s="142"/>
      <c r="M24" s="162"/>
      <c r="N24" s="142"/>
      <c r="O24" s="142"/>
      <c r="P24" s="142"/>
      <c r="Q24" s="120"/>
      <c r="R24" s="120"/>
    </row>
    <row r="25" spans="1:36" ht="15.75" customHeight="1">
      <c r="A25" s="105"/>
      <c r="B25" s="128"/>
      <c r="C25" s="128"/>
      <c r="D25" s="120"/>
      <c r="E25" s="280"/>
      <c r="F25" s="161"/>
      <c r="G25" s="161"/>
      <c r="H25" s="161"/>
      <c r="I25" s="161"/>
      <c r="J25" s="161"/>
      <c r="K25" s="161"/>
      <c r="L25" s="142"/>
      <c r="M25" s="162"/>
      <c r="N25" s="142"/>
      <c r="O25" s="142"/>
      <c r="P25" s="142"/>
      <c r="Q25" s="120"/>
      <c r="R25" s="120"/>
    </row>
    <row r="26" spans="1:36" ht="15.75" customHeight="1">
      <c r="A26" s="809" t="s">
        <v>54</v>
      </c>
      <c r="B26" s="810"/>
      <c r="C26" s="110"/>
      <c r="D26" s="120"/>
      <c r="E26" s="162"/>
      <c r="F26" s="142"/>
      <c r="G26" s="142">
        <f>SUM(G7:G25)</f>
        <v>0</v>
      </c>
      <c r="H26" s="142"/>
      <c r="I26" s="142"/>
      <c r="J26" s="142"/>
      <c r="K26" s="142"/>
      <c r="L26" s="142">
        <f>SUM(L7:L25)</f>
        <v>0</v>
      </c>
      <c r="M26" s="162"/>
      <c r="N26" s="142"/>
      <c r="O26" s="142">
        <f>SUM(O7:O25)</f>
        <v>0</v>
      </c>
      <c r="P26" s="142" t="str">
        <f>IF(L26=0,"",(O26-L26)/L26*100)</f>
        <v/>
      </c>
      <c r="Q26" s="120"/>
      <c r="R26" s="120"/>
    </row>
    <row r="27" spans="1:36" ht="15.75" customHeight="1">
      <c r="A27" s="101" t="e">
        <f>#REF!&amp;#REF!</f>
        <v>#REF!</v>
      </c>
      <c r="E27" s="133"/>
      <c r="F27" s="115"/>
      <c r="G27" s="115"/>
      <c r="H27" s="115"/>
      <c r="I27" s="115"/>
      <c r="J27" s="115"/>
      <c r="K27" s="115"/>
      <c r="L27" s="115" t="e">
        <f>"评估人员："&amp;#REF!</f>
        <v>#REF!</v>
      </c>
    </row>
    <row r="28" spans="1:36" ht="15.75" customHeight="1">
      <c r="A28" s="4" t="e">
        <f>CONCATENATE(#REF!,#REF!,#REF!,#REF!,#REF!,#REF!,#REF!)</f>
        <v>#REF!</v>
      </c>
      <c r="E28" s="133"/>
      <c r="F28" s="133"/>
    </row>
    <row r="29" spans="1:36" ht="15.75" customHeight="1">
      <c r="A29" s="116"/>
      <c r="B29" s="106" t="s">
        <v>360</v>
      </c>
      <c r="C29" s="106"/>
      <c r="D29" s="4" t="s">
        <v>295</v>
      </c>
      <c r="E29" s="133"/>
      <c r="F29" s="133"/>
    </row>
    <row r="30" spans="1:36" ht="15.75" customHeight="1">
      <c r="A30" s="116"/>
      <c r="D30" s="4" t="s">
        <v>296</v>
      </c>
      <c r="E30" s="133"/>
      <c r="F30" s="133"/>
    </row>
  </sheetData>
  <mergeCells count="14">
    <mergeCell ref="R5:R6"/>
    <mergeCell ref="A26:B26"/>
    <mergeCell ref="I5:I6"/>
    <mergeCell ref="J5:L5"/>
    <mergeCell ref="M5:O5"/>
    <mergeCell ref="C5:C6"/>
    <mergeCell ref="E5:H5"/>
    <mergeCell ref="A2:Q2"/>
    <mergeCell ref="A3:Q3"/>
    <mergeCell ref="A5:A6"/>
    <mergeCell ref="B5:B6"/>
    <mergeCell ref="D5:D6"/>
    <mergeCell ref="P5:P6"/>
    <mergeCell ref="Q5:Q6"/>
  </mergeCells>
  <phoneticPr fontId="6" type="noConversion"/>
  <hyperlinks>
    <hyperlink ref="A1" location="索引目录!E22" display="产成品（库存商品）"/>
    <hyperlink ref="B1" location="存货汇总!B10" display="产成品（库存商品）"/>
  </hyperlinks>
  <printOptions horizontalCentered="1"/>
  <pageMargins left="0.35433070866141736" right="0.35433070866141736" top="0.78740157480314965" bottom="0.78740157480314965" header="1.06" footer="0.51181102362204722"/>
  <pageSetup paperSize="9" scale="68" fitToHeight="0" orientation="landscape" horizontalDpi="4294967292" r:id="rId1"/>
  <headerFooter alignWithMargins="0">
    <oddHeader>&amp;R&amp;"宋体,常规"&amp;10表&amp;"Times New Roman,常规"3-9-5
&amp;"宋体,常规"共&amp;"Times New Roman,常规"&amp;N&amp;"宋体,常规"页第&amp;"Times New Roman,常规"&amp;P&amp;"宋体,常规"页</oddHeader>
  </headerFooter>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Q29"/>
  <sheetViews>
    <sheetView workbookViewId="0">
      <pane xSplit="3" ySplit="6" topLeftCell="D7" activePane="bottomRight" state="frozen"/>
      <selection activeCell="B11" sqref="B11"/>
      <selection pane="topRight" activeCell="B11" sqref="B11"/>
      <selection pane="bottomLeft" activeCell="B11" sqref="B11"/>
      <selection pane="bottomRight" activeCell="B11" sqref="B11"/>
    </sheetView>
  </sheetViews>
  <sheetFormatPr defaultRowHeight="15.75" customHeight="1" outlineLevelCol="1"/>
  <cols>
    <col min="1" max="1" width="4.375" style="4" customWidth="1"/>
    <col min="2" max="2" width="14.125" style="4" customWidth="1"/>
    <col min="3" max="3" width="16.875" style="4" customWidth="1"/>
    <col min="4" max="4" width="4.875" style="4" customWidth="1"/>
    <col min="5" max="5" width="6.875" style="123" customWidth="1" outlineLevel="1"/>
    <col min="6" max="6" width="9.125" style="123" customWidth="1" outlineLevel="1"/>
    <col min="7" max="7" width="10" style="123" customWidth="1" outlineLevel="1"/>
    <col min="8" max="8" width="7.125" style="123" customWidth="1" outlineLevel="1"/>
    <col min="9" max="9" width="5.375" style="123" customWidth="1" outlineLevel="1"/>
    <col min="10" max="10" width="6.625" style="123" customWidth="1"/>
    <col min="11" max="11" width="8.875" style="123" customWidth="1"/>
    <col min="12" max="12" width="10.625" style="123" customWidth="1"/>
    <col min="13" max="13" width="5.875" style="4" customWidth="1"/>
    <col min="14" max="14" width="9.125" style="123" customWidth="1" outlineLevel="1"/>
    <col min="15" max="15" width="12.625" style="123" customWidth="1" outlineLevel="1"/>
    <col min="16" max="16" width="5.125" style="123" customWidth="1" outlineLevel="1"/>
    <col min="17" max="17" width="7.5" style="4" customWidth="1"/>
    <col min="18" max="16384" width="9" style="4"/>
  </cols>
  <sheetData>
    <row r="1" spans="1:17" ht="14.25">
      <c r="A1" s="272" t="s">
        <v>130</v>
      </c>
      <c r="B1" s="196" t="s">
        <v>132</v>
      </c>
      <c r="C1" s="196"/>
      <c r="D1" s="1"/>
      <c r="E1" s="1"/>
      <c r="F1" s="1"/>
      <c r="G1" s="1"/>
      <c r="H1" s="1"/>
      <c r="I1" s="1"/>
      <c r="J1" s="1"/>
      <c r="K1" s="1"/>
      <c r="L1" s="1"/>
      <c r="M1" s="1"/>
      <c r="N1" s="1"/>
      <c r="O1" s="1"/>
      <c r="P1" s="1"/>
      <c r="Q1" s="1"/>
    </row>
    <row r="2" spans="1:17" s="114" customFormat="1" ht="30" customHeight="1">
      <c r="A2" s="790" t="s">
        <v>896</v>
      </c>
      <c r="B2" s="791"/>
      <c r="C2" s="791"/>
      <c r="D2" s="791"/>
      <c r="E2" s="791"/>
      <c r="F2" s="791"/>
      <c r="G2" s="791"/>
      <c r="H2" s="791"/>
      <c r="I2" s="791"/>
      <c r="J2" s="791"/>
      <c r="K2" s="791"/>
      <c r="L2" s="791"/>
      <c r="M2" s="791"/>
      <c r="N2" s="791"/>
      <c r="O2" s="791"/>
      <c r="P2" s="791"/>
      <c r="Q2" s="791"/>
    </row>
    <row r="3" spans="1:17" ht="14.1" customHeight="1">
      <c r="A3" s="792" t="e">
        <f>CONCATENATE(#REF!,#REF!,#REF!,#REF!,#REF!,#REF!,#REF!)</f>
        <v>#REF!</v>
      </c>
      <c r="B3" s="792"/>
      <c r="C3" s="792"/>
      <c r="D3" s="792"/>
      <c r="E3" s="792"/>
      <c r="F3" s="792"/>
      <c r="G3" s="792"/>
      <c r="H3" s="792"/>
      <c r="I3" s="792"/>
      <c r="J3" s="792"/>
      <c r="K3" s="792"/>
      <c r="L3" s="808"/>
      <c r="M3" s="808"/>
      <c r="N3" s="808"/>
      <c r="O3" s="808"/>
      <c r="P3" s="808"/>
      <c r="Q3" s="808"/>
    </row>
    <row r="4" spans="1:17" ht="15.75" customHeight="1">
      <c r="A4" s="115" t="e">
        <f>#REF!&amp;#REF!</f>
        <v>#REF!</v>
      </c>
      <c r="Q4" s="106" t="s">
        <v>3</v>
      </c>
    </row>
    <row r="5" spans="1:17" s="1" customFormat="1" ht="15.75" customHeight="1">
      <c r="A5" s="815" t="s">
        <v>4</v>
      </c>
      <c r="B5" s="815" t="s">
        <v>931</v>
      </c>
      <c r="C5" s="815" t="s">
        <v>932</v>
      </c>
      <c r="D5" s="817" t="s">
        <v>267</v>
      </c>
      <c r="E5" s="821" t="s">
        <v>426</v>
      </c>
      <c r="F5" s="822"/>
      <c r="G5" s="822"/>
      <c r="H5" s="823"/>
      <c r="I5" s="817" t="s">
        <v>714</v>
      </c>
      <c r="J5" s="824" t="s">
        <v>315</v>
      </c>
      <c r="K5" s="825"/>
      <c r="L5" s="826"/>
      <c r="M5" s="821" t="s">
        <v>0</v>
      </c>
      <c r="N5" s="822"/>
      <c r="O5" s="823"/>
      <c r="P5" s="837" t="s">
        <v>20</v>
      </c>
      <c r="Q5" s="815" t="s">
        <v>72</v>
      </c>
    </row>
    <row r="6" spans="1:17" s="116" customFormat="1" ht="15.75" customHeight="1">
      <c r="A6" s="816"/>
      <c r="B6" s="816"/>
      <c r="C6" s="816"/>
      <c r="D6" s="818"/>
      <c r="E6" s="373" t="s">
        <v>87</v>
      </c>
      <c r="F6" s="373" t="s">
        <v>264</v>
      </c>
      <c r="G6" s="386" t="s">
        <v>942</v>
      </c>
      <c r="H6" s="500" t="s">
        <v>944</v>
      </c>
      <c r="I6" s="827"/>
      <c r="J6" s="102" t="s">
        <v>87</v>
      </c>
      <c r="K6" s="102" t="s">
        <v>264</v>
      </c>
      <c r="L6" s="102" t="s">
        <v>71</v>
      </c>
      <c r="M6" s="521" t="s">
        <v>262</v>
      </c>
      <c r="N6" s="102" t="s">
        <v>264</v>
      </c>
      <c r="O6" s="102" t="s">
        <v>71</v>
      </c>
      <c r="P6" s="838"/>
      <c r="Q6" s="816"/>
    </row>
    <row r="7" spans="1:17" s="135" customFormat="1" ht="15.75" customHeight="1">
      <c r="A7" s="153">
        <v>1</v>
      </c>
      <c r="B7" s="131"/>
      <c r="C7" s="374"/>
      <c r="D7" s="134"/>
      <c r="E7" s="279"/>
      <c r="F7" s="142" t="str">
        <f>IF(E7=0,"",G7/E7)</f>
        <v/>
      </c>
      <c r="G7" s="160"/>
      <c r="H7" s="160"/>
      <c r="I7" s="160"/>
      <c r="J7" s="160"/>
      <c r="K7" s="160"/>
      <c r="L7" s="142"/>
      <c r="M7" s="162"/>
      <c r="N7" s="142"/>
      <c r="O7" s="142"/>
      <c r="P7" s="142" t="str">
        <f>IF(L7=0,"",(O7-L7)/L7*100)</f>
        <v/>
      </c>
      <c r="Q7" s="120"/>
    </row>
    <row r="8" spans="1:17" ht="15.75" customHeight="1">
      <c r="A8" s="105">
        <v>2</v>
      </c>
      <c r="B8" s="111"/>
      <c r="C8" s="111"/>
      <c r="D8" s="120"/>
      <c r="E8" s="280"/>
      <c r="F8" s="142" t="str">
        <f t="shared" ref="F8:F24" si="0">IF(E8=0,"",G8/E8)</f>
        <v/>
      </c>
      <c r="G8" s="161"/>
      <c r="H8" s="161"/>
      <c r="I8" s="161"/>
      <c r="J8" s="161"/>
      <c r="K8" s="161"/>
      <c r="L8" s="142"/>
      <c r="M8" s="162"/>
      <c r="N8" s="142"/>
      <c r="O8" s="142"/>
      <c r="P8" s="142" t="str">
        <f t="shared" ref="P8:P25" si="1">IF(L8=0,"",(O8-L8)/L8*100)</f>
        <v/>
      </c>
      <c r="Q8" s="120"/>
    </row>
    <row r="9" spans="1:17" ht="15.75" customHeight="1">
      <c r="A9" s="153">
        <v>3</v>
      </c>
      <c r="B9" s="128"/>
      <c r="C9" s="128"/>
      <c r="D9" s="120"/>
      <c r="E9" s="280"/>
      <c r="F9" s="142" t="str">
        <f t="shared" si="0"/>
        <v/>
      </c>
      <c r="G9" s="161"/>
      <c r="H9" s="161"/>
      <c r="I9" s="161"/>
      <c r="J9" s="161"/>
      <c r="K9" s="161"/>
      <c r="L9" s="142"/>
      <c r="M9" s="162"/>
      <c r="N9" s="142"/>
      <c r="O9" s="142"/>
      <c r="P9" s="142" t="str">
        <f t="shared" si="1"/>
        <v/>
      </c>
      <c r="Q9" s="120"/>
    </row>
    <row r="10" spans="1:17" ht="15.75" customHeight="1">
      <c r="A10" s="105">
        <v>4</v>
      </c>
      <c r="B10" s="128"/>
      <c r="C10" s="128"/>
      <c r="D10" s="120"/>
      <c r="E10" s="280"/>
      <c r="F10" s="142" t="str">
        <f t="shared" si="0"/>
        <v/>
      </c>
      <c r="G10" s="161"/>
      <c r="H10" s="161"/>
      <c r="I10" s="161"/>
      <c r="J10" s="161"/>
      <c r="K10" s="161"/>
      <c r="L10" s="142"/>
      <c r="M10" s="162"/>
      <c r="N10" s="142"/>
      <c r="O10" s="142"/>
      <c r="P10" s="142" t="str">
        <f t="shared" si="1"/>
        <v/>
      </c>
      <c r="Q10" s="120"/>
    </row>
    <row r="11" spans="1:17" ht="15.75" customHeight="1">
      <c r="A11" s="153">
        <v>5</v>
      </c>
      <c r="B11" s="128"/>
      <c r="C11" s="128"/>
      <c r="D11" s="120"/>
      <c r="E11" s="280"/>
      <c r="F11" s="142" t="str">
        <f t="shared" si="0"/>
        <v/>
      </c>
      <c r="G11" s="161"/>
      <c r="H11" s="161"/>
      <c r="I11" s="161"/>
      <c r="J11" s="161"/>
      <c r="K11" s="161"/>
      <c r="L11" s="142"/>
      <c r="M11" s="162"/>
      <c r="N11" s="142"/>
      <c r="O11" s="142"/>
      <c r="P11" s="142" t="str">
        <f t="shared" si="1"/>
        <v/>
      </c>
      <c r="Q11" s="120"/>
    </row>
    <row r="12" spans="1:17" ht="15.75" customHeight="1">
      <c r="A12" s="105"/>
      <c r="B12" s="128"/>
      <c r="C12" s="128"/>
      <c r="D12" s="120"/>
      <c r="E12" s="280"/>
      <c r="F12" s="142" t="str">
        <f t="shared" si="0"/>
        <v/>
      </c>
      <c r="G12" s="161"/>
      <c r="H12" s="161"/>
      <c r="I12" s="161"/>
      <c r="J12" s="161"/>
      <c r="K12" s="161"/>
      <c r="L12" s="142"/>
      <c r="M12" s="162"/>
      <c r="N12" s="142"/>
      <c r="O12" s="142"/>
      <c r="P12" s="142" t="str">
        <f t="shared" si="1"/>
        <v/>
      </c>
      <c r="Q12" s="120"/>
    </row>
    <row r="13" spans="1:17" ht="15.75" customHeight="1">
      <c r="A13" s="105"/>
      <c r="B13" s="128"/>
      <c r="C13" s="128"/>
      <c r="D13" s="120"/>
      <c r="E13" s="280"/>
      <c r="F13" s="142" t="str">
        <f t="shared" si="0"/>
        <v/>
      </c>
      <c r="G13" s="161"/>
      <c r="H13" s="161"/>
      <c r="I13" s="161"/>
      <c r="J13" s="161"/>
      <c r="K13" s="161"/>
      <c r="L13" s="142"/>
      <c r="M13" s="162"/>
      <c r="N13" s="142"/>
      <c r="O13" s="142"/>
      <c r="P13" s="142" t="str">
        <f t="shared" si="1"/>
        <v/>
      </c>
      <c r="Q13" s="120"/>
    </row>
    <row r="14" spans="1:17" ht="15.75" customHeight="1">
      <c r="A14" s="105"/>
      <c r="B14" s="111"/>
      <c r="C14" s="111"/>
      <c r="D14" s="120"/>
      <c r="E14" s="280"/>
      <c r="F14" s="142" t="str">
        <f t="shared" si="0"/>
        <v/>
      </c>
      <c r="G14" s="161"/>
      <c r="H14" s="161"/>
      <c r="I14" s="161"/>
      <c r="J14" s="161"/>
      <c r="K14" s="161"/>
      <c r="L14" s="142"/>
      <c r="M14" s="162"/>
      <c r="N14" s="142"/>
      <c r="O14" s="142"/>
      <c r="P14" s="142" t="str">
        <f t="shared" si="1"/>
        <v/>
      </c>
      <c r="Q14" s="120"/>
    </row>
    <row r="15" spans="1:17" ht="15.75" customHeight="1">
      <c r="A15" s="105"/>
      <c r="B15" s="111"/>
      <c r="C15" s="111"/>
      <c r="D15" s="120"/>
      <c r="E15" s="280"/>
      <c r="F15" s="142" t="str">
        <f t="shared" si="0"/>
        <v/>
      </c>
      <c r="G15" s="161"/>
      <c r="H15" s="161"/>
      <c r="I15" s="161"/>
      <c r="J15" s="161"/>
      <c r="K15" s="161"/>
      <c r="L15" s="142"/>
      <c r="M15" s="162"/>
      <c r="N15" s="142"/>
      <c r="O15" s="142"/>
      <c r="P15" s="142" t="str">
        <f t="shared" si="1"/>
        <v/>
      </c>
      <c r="Q15" s="120"/>
    </row>
    <row r="16" spans="1:17" ht="15.75" customHeight="1">
      <c r="A16" s="105"/>
      <c r="B16" s="128"/>
      <c r="C16" s="128"/>
      <c r="D16" s="120"/>
      <c r="E16" s="280"/>
      <c r="F16" s="142" t="str">
        <f t="shared" si="0"/>
        <v/>
      </c>
      <c r="G16" s="161"/>
      <c r="H16" s="161"/>
      <c r="I16" s="161"/>
      <c r="J16" s="161"/>
      <c r="K16" s="161"/>
      <c r="L16" s="142"/>
      <c r="M16" s="162"/>
      <c r="N16" s="142"/>
      <c r="O16" s="142"/>
      <c r="P16" s="142" t="str">
        <f t="shared" si="1"/>
        <v/>
      </c>
      <c r="Q16" s="120"/>
    </row>
    <row r="17" spans="1:17" ht="15.75" customHeight="1">
      <c r="A17" s="105"/>
      <c r="B17" s="128"/>
      <c r="C17" s="128"/>
      <c r="D17" s="120"/>
      <c r="E17" s="280"/>
      <c r="F17" s="142" t="str">
        <f t="shared" si="0"/>
        <v/>
      </c>
      <c r="G17" s="161"/>
      <c r="H17" s="161"/>
      <c r="I17" s="161"/>
      <c r="J17" s="161"/>
      <c r="K17" s="161"/>
      <c r="L17" s="142"/>
      <c r="M17" s="162"/>
      <c r="N17" s="142"/>
      <c r="O17" s="142"/>
      <c r="P17" s="142" t="str">
        <f t="shared" si="1"/>
        <v/>
      </c>
      <c r="Q17" s="120"/>
    </row>
    <row r="18" spans="1:17" ht="15.75" customHeight="1">
      <c r="A18" s="105"/>
      <c r="B18" s="128"/>
      <c r="C18" s="128"/>
      <c r="D18" s="120"/>
      <c r="E18" s="280"/>
      <c r="F18" s="142" t="str">
        <f t="shared" si="0"/>
        <v/>
      </c>
      <c r="G18" s="161"/>
      <c r="H18" s="161"/>
      <c r="I18" s="161"/>
      <c r="J18" s="161"/>
      <c r="K18" s="161"/>
      <c r="L18" s="142"/>
      <c r="M18" s="162"/>
      <c r="N18" s="142"/>
      <c r="O18" s="142"/>
      <c r="P18" s="142" t="str">
        <f t="shared" si="1"/>
        <v/>
      </c>
      <c r="Q18" s="120"/>
    </row>
    <row r="19" spans="1:17" ht="15.75" customHeight="1">
      <c r="A19" s="105"/>
      <c r="B19" s="128"/>
      <c r="C19" s="128"/>
      <c r="D19" s="120"/>
      <c r="E19" s="280"/>
      <c r="F19" s="142" t="str">
        <f t="shared" si="0"/>
        <v/>
      </c>
      <c r="G19" s="161"/>
      <c r="H19" s="161"/>
      <c r="I19" s="161"/>
      <c r="J19" s="161"/>
      <c r="K19" s="161"/>
      <c r="L19" s="142"/>
      <c r="M19" s="162"/>
      <c r="N19" s="142"/>
      <c r="O19" s="142"/>
      <c r="P19" s="142" t="str">
        <f t="shared" si="1"/>
        <v/>
      </c>
      <c r="Q19" s="120"/>
    </row>
    <row r="20" spans="1:17" ht="15.75" customHeight="1">
      <c r="A20" s="105"/>
      <c r="B20" s="128"/>
      <c r="C20" s="128"/>
      <c r="D20" s="120"/>
      <c r="E20" s="280"/>
      <c r="F20" s="142" t="str">
        <f t="shared" si="0"/>
        <v/>
      </c>
      <c r="G20" s="161"/>
      <c r="H20" s="161"/>
      <c r="I20" s="161"/>
      <c r="J20" s="161"/>
      <c r="K20" s="161"/>
      <c r="L20" s="142"/>
      <c r="M20" s="162"/>
      <c r="N20" s="142"/>
      <c r="O20" s="142"/>
      <c r="P20" s="142" t="str">
        <f t="shared" si="1"/>
        <v/>
      </c>
      <c r="Q20" s="120"/>
    </row>
    <row r="21" spans="1:17" ht="15.75" customHeight="1">
      <c r="A21" s="105"/>
      <c r="B21" s="128"/>
      <c r="C21" s="128"/>
      <c r="D21" s="120"/>
      <c r="E21" s="280"/>
      <c r="F21" s="142" t="str">
        <f t="shared" si="0"/>
        <v/>
      </c>
      <c r="G21" s="161"/>
      <c r="H21" s="161"/>
      <c r="I21" s="161"/>
      <c r="J21" s="161"/>
      <c r="K21" s="161"/>
      <c r="L21" s="142"/>
      <c r="M21" s="162"/>
      <c r="N21" s="142"/>
      <c r="O21" s="142"/>
      <c r="P21" s="142" t="str">
        <f t="shared" si="1"/>
        <v/>
      </c>
      <c r="Q21" s="120"/>
    </row>
    <row r="22" spans="1:17" ht="15.75" customHeight="1">
      <c r="A22" s="105"/>
      <c r="B22" s="111"/>
      <c r="C22" s="111"/>
      <c r="D22" s="120"/>
      <c r="E22" s="280"/>
      <c r="F22" s="142" t="str">
        <f t="shared" si="0"/>
        <v/>
      </c>
      <c r="G22" s="161"/>
      <c r="H22" s="161"/>
      <c r="I22" s="161"/>
      <c r="J22" s="161"/>
      <c r="K22" s="161"/>
      <c r="L22" s="142"/>
      <c r="M22" s="162"/>
      <c r="N22" s="142"/>
      <c r="O22" s="142"/>
      <c r="P22" s="142" t="str">
        <f t="shared" si="1"/>
        <v/>
      </c>
      <c r="Q22" s="120"/>
    </row>
    <row r="23" spans="1:17" ht="15.75" customHeight="1">
      <c r="A23" s="105"/>
      <c r="B23" s="111"/>
      <c r="C23" s="111"/>
      <c r="D23" s="120"/>
      <c r="E23" s="280"/>
      <c r="F23" s="142" t="str">
        <f t="shared" si="0"/>
        <v/>
      </c>
      <c r="G23" s="161"/>
      <c r="H23" s="161"/>
      <c r="I23" s="161"/>
      <c r="J23" s="161"/>
      <c r="K23" s="161"/>
      <c r="L23" s="142"/>
      <c r="M23" s="162"/>
      <c r="N23" s="142"/>
      <c r="O23" s="142"/>
      <c r="P23" s="142" t="str">
        <f t="shared" si="1"/>
        <v/>
      </c>
      <c r="Q23" s="120"/>
    </row>
    <row r="24" spans="1:17" ht="15.75" customHeight="1">
      <c r="A24" s="105"/>
      <c r="B24" s="128"/>
      <c r="C24" s="128"/>
      <c r="D24" s="120"/>
      <c r="E24" s="280"/>
      <c r="F24" s="142" t="str">
        <f t="shared" si="0"/>
        <v/>
      </c>
      <c r="G24" s="161"/>
      <c r="H24" s="161"/>
      <c r="I24" s="161"/>
      <c r="J24" s="161"/>
      <c r="K24" s="161"/>
      <c r="L24" s="142"/>
      <c r="M24" s="162"/>
      <c r="N24" s="142"/>
      <c r="O24" s="142"/>
      <c r="P24" s="142" t="str">
        <f t="shared" si="1"/>
        <v/>
      </c>
      <c r="Q24" s="120"/>
    </row>
    <row r="25" spans="1:17" ht="15.75" customHeight="1">
      <c r="A25" s="105"/>
      <c r="B25" s="128"/>
      <c r="C25" s="128"/>
      <c r="D25" s="120"/>
      <c r="E25" s="280"/>
      <c r="F25" s="142" t="str">
        <f>IF(E25=0,"",G25/E25)</f>
        <v/>
      </c>
      <c r="G25" s="161"/>
      <c r="H25" s="161"/>
      <c r="I25" s="161"/>
      <c r="J25" s="161"/>
      <c r="K25" s="161"/>
      <c r="L25" s="142"/>
      <c r="M25" s="162"/>
      <c r="N25" s="142"/>
      <c r="O25" s="142"/>
      <c r="P25" s="142" t="str">
        <f t="shared" si="1"/>
        <v/>
      </c>
      <c r="Q25" s="120"/>
    </row>
    <row r="26" spans="1:17" ht="15.75" customHeight="1">
      <c r="A26" s="105"/>
      <c r="B26" s="128"/>
      <c r="C26" s="128"/>
      <c r="D26" s="120"/>
      <c r="E26" s="280"/>
      <c r="F26" s="161"/>
      <c r="G26" s="161"/>
      <c r="H26" s="161"/>
      <c r="I26" s="161"/>
      <c r="J26" s="161"/>
      <c r="K26" s="161"/>
      <c r="L26" s="142"/>
      <c r="M26" s="162"/>
      <c r="N26" s="142"/>
      <c r="O26" s="142"/>
      <c r="P26" s="142"/>
      <c r="Q26" s="120"/>
    </row>
    <row r="27" spans="1:17" ht="15.75" customHeight="1">
      <c r="A27" s="809" t="s">
        <v>54</v>
      </c>
      <c r="B27" s="810"/>
      <c r="C27" s="110"/>
      <c r="D27" s="120"/>
      <c r="E27" s="162"/>
      <c r="F27" s="142"/>
      <c r="G27" s="142">
        <f>SUM(G7:G26)</f>
        <v>0</v>
      </c>
      <c r="H27" s="142"/>
      <c r="I27" s="142"/>
      <c r="J27" s="142"/>
      <c r="K27" s="142"/>
      <c r="L27" s="142">
        <f>SUM(L7:L26)</f>
        <v>0</v>
      </c>
      <c r="M27" s="162"/>
      <c r="N27" s="142"/>
      <c r="O27" s="142">
        <f>SUM(O7:O26)</f>
        <v>0</v>
      </c>
      <c r="P27" s="142" t="str">
        <f>IF(L27=0,"",(O27-L27)/L27*100)</f>
        <v/>
      </c>
      <c r="Q27" s="120"/>
    </row>
    <row r="28" spans="1:17" ht="15.75" customHeight="1">
      <c r="A28" s="101" t="e">
        <f>#REF!&amp;#REF!</f>
        <v>#REF!</v>
      </c>
      <c r="E28" s="133"/>
      <c r="F28" s="115"/>
      <c r="G28" s="115"/>
      <c r="H28" s="115"/>
      <c r="I28" s="115"/>
      <c r="J28" s="115"/>
      <c r="K28" s="115"/>
      <c r="L28" s="115" t="e">
        <f>"评估人员："&amp;#REF!</f>
        <v>#REF!</v>
      </c>
      <c r="N28" s="4"/>
      <c r="O28" s="4"/>
      <c r="P28" s="4"/>
    </row>
    <row r="29" spans="1:17" ht="15.75" customHeight="1">
      <c r="A29" s="4" t="e">
        <f>CONCATENATE(#REF!,#REF!,#REF!,#REF!,#REF!,#REF!,#REF!)</f>
        <v>#REF!</v>
      </c>
      <c r="E29" s="133"/>
      <c r="F29" s="133"/>
      <c r="G29" s="133"/>
      <c r="H29" s="133"/>
      <c r="I29" s="133"/>
      <c r="J29" s="133"/>
      <c r="K29" s="133"/>
      <c r="L29" s="4"/>
      <c r="N29" s="4"/>
      <c r="O29" s="4"/>
      <c r="P29" s="4"/>
    </row>
  </sheetData>
  <mergeCells count="13">
    <mergeCell ref="A27:B27"/>
    <mergeCell ref="A3:Q3"/>
    <mergeCell ref="P5:P6"/>
    <mergeCell ref="Q5:Q6"/>
    <mergeCell ref="A2:Q2"/>
    <mergeCell ref="A5:A6"/>
    <mergeCell ref="B5:B6"/>
    <mergeCell ref="D5:D6"/>
    <mergeCell ref="I5:I6"/>
    <mergeCell ref="C5:C6"/>
    <mergeCell ref="E5:H5"/>
    <mergeCell ref="J5:L5"/>
    <mergeCell ref="M5:O5"/>
  </mergeCells>
  <phoneticPr fontId="6" type="noConversion"/>
  <hyperlinks>
    <hyperlink ref="A1" location="索引目录!E23" display="在产品（自制半成品）"/>
    <hyperlink ref="B1" location="存货汇总!B11" display="在产品（自制半成品）"/>
  </hyperlinks>
  <printOptions horizontalCentered="1"/>
  <pageMargins left="0.35433070866141736" right="0.35433070866141736" top="0.78740157480314965" bottom="0.78740157480314965" header="1.06" footer="0.51181102362204722"/>
  <pageSetup paperSize="9" scale="70" fitToHeight="0" orientation="landscape" horizontalDpi="4294967292" r:id="rId1"/>
  <headerFooter alignWithMargins="0">
    <oddHeader>&amp;R&amp;"宋体,常规"&amp;10表&amp;"Times New Roman,常规"3-9-6
&amp;"宋体,常规"共&amp;"Times New Roman,常规"&amp;N&amp;"宋体,常规"页第&amp;"Times New Roman,常规"&amp;P&amp;"宋体,常规"页</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23"/>
  <sheetViews>
    <sheetView showGridLines="0" workbookViewId="0">
      <selection activeCell="B2" sqref="B2"/>
    </sheetView>
  </sheetViews>
  <sheetFormatPr defaultRowHeight="15.75"/>
  <cols>
    <col min="1" max="16384" width="9" style="89"/>
  </cols>
  <sheetData>
    <row r="1" spans="1:13" s="87" customFormat="1" ht="33.75" thickBot="1">
      <c r="A1" s="56" t="s">
        <v>106</v>
      </c>
      <c r="B1" s="86"/>
      <c r="C1" s="86"/>
      <c r="D1" s="86"/>
      <c r="E1" s="86"/>
      <c r="F1" s="86"/>
      <c r="G1" s="86"/>
      <c r="H1" s="86"/>
      <c r="I1" s="86"/>
      <c r="J1" s="86"/>
      <c r="K1" s="86"/>
      <c r="L1" s="86"/>
      <c r="M1" s="86"/>
    </row>
    <row r="2" spans="1:13" ht="19.5" thickTop="1">
      <c r="A2" s="183" t="s">
        <v>206</v>
      </c>
      <c r="B2" s="184"/>
      <c r="C2" s="88"/>
      <c r="D2" s="88"/>
      <c r="E2" s="88"/>
      <c r="F2" s="88"/>
      <c r="G2" s="88"/>
      <c r="H2" s="88"/>
      <c r="I2" s="88"/>
      <c r="J2" s="88"/>
      <c r="K2" s="88"/>
      <c r="L2" s="88"/>
      <c r="M2" s="88"/>
    </row>
    <row r="3" spans="1:13" s="87" customFormat="1">
      <c r="A3" s="90" t="s">
        <v>209</v>
      </c>
      <c r="B3" s="57" t="s">
        <v>107</v>
      </c>
      <c r="C3" s="91"/>
      <c r="D3" s="91"/>
      <c r="E3" s="91"/>
      <c r="F3" s="91"/>
      <c r="G3" s="91"/>
      <c r="H3" s="91"/>
      <c r="I3" s="91"/>
      <c r="J3" s="91"/>
      <c r="K3" s="91"/>
      <c r="L3" s="91"/>
      <c r="M3" s="91"/>
    </row>
    <row r="4" spans="1:13" s="87" customFormat="1">
      <c r="A4" s="90"/>
      <c r="B4" s="57" t="s">
        <v>393</v>
      </c>
      <c r="C4" s="91"/>
      <c r="D4" s="91"/>
      <c r="E4" s="91"/>
      <c r="F4" s="91"/>
      <c r="G4" s="91"/>
      <c r="H4" s="91"/>
      <c r="I4" s="91"/>
      <c r="J4" s="91"/>
      <c r="K4" s="91"/>
      <c r="L4" s="91"/>
      <c r="M4" s="91"/>
    </row>
    <row r="5" spans="1:13" s="87" customFormat="1">
      <c r="A5" s="90"/>
      <c r="B5" s="57" t="s">
        <v>394</v>
      </c>
      <c r="C5" s="91"/>
      <c r="D5" s="91"/>
      <c r="E5" s="91"/>
      <c r="F5" s="91"/>
      <c r="G5" s="91"/>
      <c r="H5" s="91"/>
      <c r="I5" s="91"/>
      <c r="J5" s="91"/>
      <c r="K5" s="91"/>
      <c r="L5" s="91"/>
      <c r="M5" s="91"/>
    </row>
    <row r="6" spans="1:13" s="87" customFormat="1">
      <c r="A6" s="90" t="s">
        <v>210</v>
      </c>
      <c r="B6" s="57" t="s">
        <v>108</v>
      </c>
      <c r="C6" s="91"/>
      <c r="D6" s="91"/>
      <c r="E6" s="91"/>
      <c r="F6" s="91"/>
      <c r="G6" s="91"/>
      <c r="H6" s="91"/>
      <c r="I6" s="91"/>
      <c r="J6" s="91"/>
      <c r="K6" s="91"/>
      <c r="L6" s="91"/>
      <c r="M6" s="91"/>
    </row>
    <row r="7" spans="1:13" s="87" customFormat="1">
      <c r="A7" s="90" t="s">
        <v>211</v>
      </c>
      <c r="B7" s="57" t="s">
        <v>348</v>
      </c>
      <c r="C7" s="91"/>
      <c r="D7" s="91"/>
      <c r="E7" s="91"/>
      <c r="F7" s="91"/>
      <c r="G7" s="91"/>
      <c r="H7" s="91"/>
      <c r="I7" s="91"/>
      <c r="J7" s="91"/>
      <c r="K7" s="91"/>
      <c r="L7" s="91"/>
      <c r="M7" s="91"/>
    </row>
    <row r="8" spans="1:13" s="87" customFormat="1">
      <c r="A8" s="90" t="s">
        <v>212</v>
      </c>
      <c r="B8" s="57" t="s">
        <v>213</v>
      </c>
      <c r="C8" s="91"/>
      <c r="D8" s="91"/>
      <c r="E8" s="91"/>
      <c r="F8" s="91"/>
      <c r="G8" s="91"/>
      <c r="H8" s="91"/>
      <c r="I8" s="91"/>
      <c r="J8" s="91"/>
      <c r="K8" s="91"/>
      <c r="L8" s="91"/>
      <c r="M8" s="91"/>
    </row>
    <row r="9" spans="1:13" s="87" customFormat="1">
      <c r="A9" s="90"/>
      <c r="B9" s="91" t="s">
        <v>214</v>
      </c>
      <c r="C9" s="91"/>
      <c r="D9" s="91"/>
      <c r="E9" s="91"/>
      <c r="F9" s="91"/>
      <c r="G9" s="91"/>
      <c r="H9" s="91"/>
      <c r="I9" s="91"/>
      <c r="J9" s="91"/>
      <c r="K9" s="91"/>
      <c r="L9" s="91"/>
      <c r="M9" s="91"/>
    </row>
    <row r="10" spans="1:13" s="87" customFormat="1">
      <c r="A10" s="90"/>
      <c r="B10" s="57" t="s">
        <v>215</v>
      </c>
      <c r="C10" s="91"/>
      <c r="D10" s="91"/>
      <c r="E10" s="91"/>
      <c r="F10" s="91"/>
      <c r="G10" s="91"/>
      <c r="H10" s="91"/>
      <c r="I10" s="91"/>
      <c r="J10" s="91"/>
      <c r="K10" s="91"/>
      <c r="L10" s="91"/>
      <c r="M10" s="91"/>
    </row>
    <row r="11" spans="1:13" s="87" customFormat="1">
      <c r="A11" s="90"/>
      <c r="B11" s="91" t="s">
        <v>216</v>
      </c>
      <c r="C11" s="91"/>
      <c r="D11" s="91"/>
      <c r="E11" s="91"/>
      <c r="F11" s="91"/>
      <c r="G11" s="91"/>
      <c r="H11" s="91"/>
      <c r="I11" s="91"/>
      <c r="J11" s="91"/>
      <c r="K11" s="91"/>
      <c r="L11" s="91"/>
      <c r="M11" s="91"/>
    </row>
    <row r="12" spans="1:13" s="87" customFormat="1">
      <c r="A12" s="90"/>
      <c r="B12" s="57" t="s">
        <v>109</v>
      </c>
      <c r="C12" s="91"/>
      <c r="D12" s="91"/>
      <c r="E12" s="91"/>
      <c r="F12" s="91"/>
      <c r="G12" s="91"/>
      <c r="H12" s="91"/>
      <c r="I12" s="91"/>
      <c r="J12" s="91"/>
      <c r="K12" s="91"/>
      <c r="L12" s="91"/>
      <c r="M12" s="91"/>
    </row>
    <row r="13" spans="1:13" s="87" customFormat="1">
      <c r="A13" s="90" t="s">
        <v>217</v>
      </c>
      <c r="B13" s="57" t="s">
        <v>395</v>
      </c>
      <c r="C13" s="91"/>
      <c r="D13" s="91"/>
      <c r="E13" s="91"/>
      <c r="F13" s="91"/>
      <c r="G13" s="91"/>
      <c r="H13" s="91"/>
      <c r="I13" s="91"/>
      <c r="J13" s="91"/>
      <c r="K13" s="91"/>
      <c r="L13" s="91"/>
      <c r="M13" s="91"/>
    </row>
    <row r="14" spans="1:13" s="87" customFormat="1">
      <c r="A14" s="90" t="s">
        <v>218</v>
      </c>
      <c r="B14" s="57" t="s">
        <v>219</v>
      </c>
      <c r="C14" s="91"/>
      <c r="D14" s="92"/>
      <c r="E14" s="91"/>
      <c r="F14" s="91"/>
      <c r="G14" s="91"/>
      <c r="H14" s="91"/>
      <c r="I14" s="91"/>
      <c r="J14" s="91"/>
      <c r="K14" s="91"/>
      <c r="L14" s="91"/>
      <c r="M14" s="91"/>
    </row>
    <row r="15" spans="1:13" s="87" customFormat="1">
      <c r="A15" s="90" t="s">
        <v>220</v>
      </c>
      <c r="B15" s="57" t="s">
        <v>396</v>
      </c>
      <c r="C15" s="91"/>
      <c r="D15" s="91"/>
      <c r="E15" s="91"/>
      <c r="F15" s="91"/>
      <c r="G15" s="91"/>
      <c r="H15" s="91"/>
      <c r="I15" s="91"/>
      <c r="J15" s="91"/>
      <c r="K15" s="91"/>
      <c r="L15" s="91"/>
      <c r="M15" s="91"/>
    </row>
    <row r="16" spans="1:13" s="95" customFormat="1">
      <c r="A16" s="58" t="s">
        <v>110</v>
      </c>
      <c r="B16" s="59" t="s">
        <v>133</v>
      </c>
      <c r="C16" s="93"/>
      <c r="D16" s="94"/>
      <c r="E16" s="94"/>
      <c r="F16" s="94"/>
      <c r="G16" s="94"/>
      <c r="H16" s="94"/>
      <c r="I16" s="94"/>
      <c r="J16" s="94"/>
      <c r="K16" s="94"/>
      <c r="L16" s="94"/>
      <c r="M16" s="94"/>
    </row>
    <row r="17" spans="1:13" s="95" customFormat="1">
      <c r="A17" s="94"/>
      <c r="B17" s="59" t="s">
        <v>105</v>
      </c>
      <c r="C17" s="93"/>
      <c r="D17" s="94"/>
      <c r="E17" s="94"/>
      <c r="F17" s="94"/>
      <c r="G17" s="94"/>
      <c r="H17" s="94"/>
      <c r="I17" s="94"/>
      <c r="J17" s="94"/>
      <c r="K17" s="94"/>
      <c r="L17" s="94"/>
      <c r="M17" s="94"/>
    </row>
    <row r="18" spans="1:13" s="95" customFormat="1">
      <c r="A18" s="94"/>
      <c r="B18" s="59"/>
      <c r="C18" s="93"/>
      <c r="D18" s="94"/>
      <c r="E18" s="94"/>
      <c r="F18" s="94"/>
      <c r="G18" s="94"/>
      <c r="H18" s="94"/>
      <c r="I18" s="94"/>
      <c r="J18" s="94"/>
      <c r="K18" s="94"/>
      <c r="L18" s="94"/>
      <c r="M18" s="94"/>
    </row>
    <row r="19" spans="1:13" s="169" customFormat="1" ht="25.5">
      <c r="A19" s="167" t="s">
        <v>397</v>
      </c>
      <c r="B19" s="168"/>
      <c r="C19" s="168"/>
      <c r="D19" s="168"/>
      <c r="E19" s="168"/>
      <c r="F19" s="168"/>
      <c r="G19" s="168"/>
      <c r="H19" s="168"/>
      <c r="I19" s="168"/>
      <c r="J19" s="168"/>
      <c r="K19" s="168"/>
      <c r="L19" s="168"/>
      <c r="M19" s="168"/>
    </row>
    <row r="20" spans="1:13" s="169" customFormat="1" ht="25.5">
      <c r="A20" s="167"/>
      <c r="B20" s="168"/>
      <c r="C20" s="167" t="s">
        <v>398</v>
      </c>
      <c r="D20" s="168"/>
      <c r="E20" s="168"/>
      <c r="F20" s="168"/>
      <c r="G20" s="168"/>
      <c r="H20" s="168"/>
      <c r="I20" s="168"/>
      <c r="J20" s="168"/>
      <c r="K20" s="168"/>
      <c r="L20" s="168"/>
      <c r="M20" s="168"/>
    </row>
    <row r="21" spans="1:13" s="95" customFormat="1">
      <c r="A21" s="94"/>
      <c r="B21" s="94"/>
      <c r="C21" s="94"/>
      <c r="D21" s="94"/>
      <c r="E21" s="94"/>
      <c r="F21" s="94"/>
      <c r="G21" s="94"/>
      <c r="H21" s="94"/>
      <c r="I21" s="94"/>
      <c r="J21" s="94"/>
      <c r="K21" s="94"/>
      <c r="L21" s="94"/>
      <c r="M21" s="94"/>
    </row>
    <row r="22" spans="1:13" ht="18.75">
      <c r="A22" s="96"/>
      <c r="B22" s="60" t="s">
        <v>134</v>
      </c>
      <c r="C22" s="97"/>
      <c r="D22" s="97"/>
      <c r="E22" s="97"/>
      <c r="F22" s="97"/>
      <c r="G22" s="98"/>
      <c r="H22" s="96"/>
      <c r="I22" s="99"/>
      <c r="J22" s="96"/>
      <c r="K22" s="96"/>
      <c r="L22" s="96"/>
      <c r="M22" s="96"/>
    </row>
    <row r="23" spans="1:13" ht="18.75">
      <c r="A23" s="100"/>
      <c r="B23" s="60" t="s">
        <v>221</v>
      </c>
      <c r="C23" s="97"/>
      <c r="D23" s="97"/>
      <c r="E23" s="97"/>
      <c r="F23" s="97"/>
      <c r="G23" s="97"/>
      <c r="H23" s="100"/>
      <c r="I23" s="99"/>
      <c r="J23" s="100"/>
      <c r="K23" s="100"/>
      <c r="L23" s="100"/>
      <c r="M23" s="100"/>
    </row>
  </sheetData>
  <sheetProtection password="EF09" sheet="1" objects="1" scenarios="1" selectLockedCells="1"/>
  <phoneticPr fontId="6" type="noConversion"/>
  <hyperlinks>
    <hyperlink ref="A2" location="索引目录!B3" display="评估申报表说明（填表前请先阅读）"/>
  </hyperlinks>
  <printOptions horizontalCentered="1"/>
  <pageMargins left="0.55118110236220474" right="0.55118110236220474" top="0.98425196850393704" bottom="0.19685039370078741" header="0.51181102362204722" footer="0"/>
  <pageSetup paperSize="9" orientation="landscape" r:id="rId1"/>
  <headerFooter alignWithMargins="0"/>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R29"/>
  <sheetViews>
    <sheetView workbookViewId="0">
      <pane xSplit="3" ySplit="6" topLeftCell="D7" activePane="bottomRight" state="frozen"/>
      <selection activeCell="B11" sqref="B11"/>
      <selection pane="topRight" activeCell="B11" sqref="B11"/>
      <selection pane="bottomLeft" activeCell="B11" sqref="B11"/>
      <selection pane="bottomRight" activeCell="B11" sqref="B11"/>
    </sheetView>
  </sheetViews>
  <sheetFormatPr defaultRowHeight="15.75" customHeight="1" outlineLevelCol="1"/>
  <cols>
    <col min="1" max="1" width="4.75" style="4" customWidth="1"/>
    <col min="2" max="2" width="17.375" style="4" customWidth="1"/>
    <col min="3" max="3" width="14.5" style="4" customWidth="1"/>
    <col min="4" max="4" width="12.625" style="4" customWidth="1"/>
    <col min="5" max="5" width="5.25" style="4" customWidth="1"/>
    <col min="6" max="6" width="6.25" style="123" customWidth="1" outlineLevel="1"/>
    <col min="7" max="7" width="6.875" style="123" customWidth="1" outlineLevel="1"/>
    <col min="8" max="8" width="9.875" style="123" customWidth="1" outlineLevel="1"/>
    <col min="9" max="9" width="6.5" style="123" customWidth="1" outlineLevel="1"/>
    <col min="10" max="10" width="4.375" style="123" customWidth="1" outlineLevel="1"/>
    <col min="11" max="11" width="6.625" style="123" customWidth="1"/>
    <col min="12" max="12" width="8.375" style="123" customWidth="1"/>
    <col min="13" max="13" width="10.625" style="123" customWidth="1"/>
    <col min="14" max="14" width="5.25" style="4" customWidth="1"/>
    <col min="15" max="15" width="8.5" style="123" customWidth="1" outlineLevel="1"/>
    <col min="16" max="16" width="12.25" style="123" customWidth="1" outlineLevel="1"/>
    <col min="17" max="17" width="5" style="123" customWidth="1" outlineLevel="1"/>
    <col min="18" max="18" width="8.125" style="4" customWidth="1"/>
    <col min="19" max="16384" width="9" style="4"/>
  </cols>
  <sheetData>
    <row r="1" spans="1:18" ht="14.25">
      <c r="A1" s="272" t="s">
        <v>130</v>
      </c>
      <c r="B1" s="200" t="s">
        <v>132</v>
      </c>
      <c r="C1" s="200"/>
      <c r="D1" s="116"/>
      <c r="E1" s="116"/>
      <c r="F1" s="116"/>
      <c r="G1" s="116"/>
      <c r="H1" s="116"/>
      <c r="I1" s="116"/>
      <c r="J1" s="116"/>
      <c r="K1" s="116"/>
      <c r="L1" s="116"/>
      <c r="M1" s="116"/>
      <c r="N1" s="116"/>
      <c r="O1" s="116"/>
      <c r="P1" s="116"/>
      <c r="Q1" s="116"/>
      <c r="R1" s="116"/>
    </row>
    <row r="2" spans="1:18" s="114" customFormat="1" ht="30" customHeight="1">
      <c r="A2" s="790" t="s">
        <v>895</v>
      </c>
      <c r="B2" s="828"/>
      <c r="C2" s="828"/>
      <c r="D2" s="828"/>
      <c r="E2" s="828"/>
      <c r="F2" s="828"/>
      <c r="G2" s="828"/>
      <c r="H2" s="828"/>
      <c r="I2" s="828"/>
      <c r="J2" s="828"/>
      <c r="K2" s="828"/>
      <c r="L2" s="828"/>
      <c r="M2" s="828"/>
      <c r="N2" s="828"/>
      <c r="O2" s="828"/>
      <c r="P2" s="828"/>
      <c r="Q2" s="828"/>
      <c r="R2" s="828"/>
    </row>
    <row r="3" spans="1:18" ht="14.1" customHeight="1">
      <c r="A3" s="792" t="e">
        <f>CONCATENATE(#REF!,#REF!,#REF!,#REF!,#REF!,#REF!,#REF!)</f>
        <v>#REF!</v>
      </c>
      <c r="B3" s="792"/>
      <c r="C3" s="792"/>
      <c r="D3" s="792"/>
      <c r="E3" s="792"/>
      <c r="F3" s="792"/>
      <c r="G3" s="792"/>
      <c r="H3" s="808"/>
      <c r="I3" s="808"/>
      <c r="J3" s="808"/>
      <c r="K3" s="808"/>
      <c r="L3" s="808"/>
      <c r="M3" s="808"/>
      <c r="N3" s="808"/>
      <c r="O3" s="808"/>
      <c r="P3" s="808"/>
      <c r="Q3" s="808"/>
      <c r="R3" s="808"/>
    </row>
    <row r="4" spans="1:18" ht="15.75" customHeight="1">
      <c r="A4" s="115" t="e">
        <f>#REF!&amp;#REF!</f>
        <v>#REF!</v>
      </c>
      <c r="R4" s="106" t="s">
        <v>3</v>
      </c>
    </row>
    <row r="5" spans="1:18" s="1" customFormat="1" ht="15.75" customHeight="1">
      <c r="A5" s="815" t="s">
        <v>4</v>
      </c>
      <c r="B5" s="815" t="s">
        <v>361</v>
      </c>
      <c r="C5" s="819" t="s">
        <v>932</v>
      </c>
      <c r="D5" s="815" t="s">
        <v>362</v>
      </c>
      <c r="E5" s="817" t="s">
        <v>267</v>
      </c>
      <c r="F5" s="821" t="s">
        <v>426</v>
      </c>
      <c r="G5" s="822"/>
      <c r="H5" s="822"/>
      <c r="I5" s="823"/>
      <c r="J5" s="817" t="s">
        <v>714</v>
      </c>
      <c r="K5" s="831" t="s">
        <v>315</v>
      </c>
      <c r="L5" s="832"/>
      <c r="M5" s="833"/>
      <c r="N5" s="834" t="s">
        <v>0</v>
      </c>
      <c r="O5" s="835"/>
      <c r="P5" s="836"/>
      <c r="Q5" s="839" t="s">
        <v>20</v>
      </c>
      <c r="R5" s="815" t="s">
        <v>72</v>
      </c>
    </row>
    <row r="6" spans="1:18" s="116" customFormat="1" ht="15.75" customHeight="1">
      <c r="A6" s="816"/>
      <c r="B6" s="816"/>
      <c r="C6" s="820"/>
      <c r="D6" s="816"/>
      <c r="E6" s="818"/>
      <c r="F6" s="373" t="s">
        <v>87</v>
      </c>
      <c r="G6" s="373" t="s">
        <v>264</v>
      </c>
      <c r="H6" s="386" t="s">
        <v>942</v>
      </c>
      <c r="I6" s="500" t="s">
        <v>943</v>
      </c>
      <c r="J6" s="827"/>
      <c r="K6" s="102" t="s">
        <v>87</v>
      </c>
      <c r="L6" s="102" t="s">
        <v>264</v>
      </c>
      <c r="M6" s="102" t="s">
        <v>71</v>
      </c>
      <c r="N6" s="499" t="s">
        <v>262</v>
      </c>
      <c r="O6" s="104" t="s">
        <v>264</v>
      </c>
      <c r="P6" s="104" t="s">
        <v>71</v>
      </c>
      <c r="Q6" s="840"/>
      <c r="R6" s="816"/>
    </row>
    <row r="7" spans="1:18" ht="15.75" customHeight="1">
      <c r="A7" s="153">
        <v>1</v>
      </c>
      <c r="B7" s="519"/>
      <c r="C7" s="519"/>
      <c r="D7" s="105"/>
      <c r="E7" s="134"/>
      <c r="F7" s="279"/>
      <c r="G7" s="142" t="str">
        <f t="shared" ref="G7:G25" si="0">IF(F7=0,"",H7/F7)</f>
        <v/>
      </c>
      <c r="H7" s="160"/>
      <c r="I7" s="160"/>
      <c r="J7" s="160"/>
      <c r="K7" s="160"/>
      <c r="L7" s="160"/>
      <c r="M7" s="142"/>
      <c r="N7" s="162"/>
      <c r="O7" s="142"/>
      <c r="P7" s="142"/>
      <c r="Q7" s="142" t="str">
        <f t="shared" ref="Q7:Q25" si="1">IF(M7=0,"",(P7-M7)/M7*100)</f>
        <v/>
      </c>
      <c r="R7" s="120"/>
    </row>
    <row r="8" spans="1:18" ht="15.75" customHeight="1">
      <c r="A8" s="105">
        <v>2</v>
      </c>
      <c r="B8" s="520"/>
      <c r="C8" s="520"/>
      <c r="D8" s="105"/>
      <c r="E8" s="120"/>
      <c r="F8" s="280"/>
      <c r="G8" s="142" t="str">
        <f t="shared" si="0"/>
        <v/>
      </c>
      <c r="H8" s="161"/>
      <c r="I8" s="161"/>
      <c r="J8" s="161"/>
      <c r="K8" s="161"/>
      <c r="L8" s="161"/>
      <c r="M8" s="142"/>
      <c r="N8" s="162"/>
      <c r="O8" s="142"/>
      <c r="P8" s="142"/>
      <c r="Q8" s="142" t="str">
        <f t="shared" si="1"/>
        <v/>
      </c>
      <c r="R8" s="120"/>
    </row>
    <row r="9" spans="1:18" ht="15.75" customHeight="1">
      <c r="A9" s="153">
        <v>3</v>
      </c>
      <c r="B9" s="474"/>
      <c r="C9" s="474"/>
      <c r="D9" s="105"/>
      <c r="E9" s="120"/>
      <c r="F9" s="280"/>
      <c r="G9" s="142" t="str">
        <f t="shared" si="0"/>
        <v/>
      </c>
      <c r="H9" s="161"/>
      <c r="I9" s="161"/>
      <c r="J9" s="161"/>
      <c r="K9" s="161"/>
      <c r="L9" s="161"/>
      <c r="M9" s="142"/>
      <c r="N9" s="162"/>
      <c r="O9" s="142"/>
      <c r="P9" s="142"/>
      <c r="Q9" s="142" t="str">
        <f t="shared" si="1"/>
        <v/>
      </c>
      <c r="R9" s="120"/>
    </row>
    <row r="10" spans="1:18" ht="15.75" customHeight="1">
      <c r="A10" s="105">
        <v>4</v>
      </c>
      <c r="B10" s="474"/>
      <c r="C10" s="474"/>
      <c r="D10" s="105"/>
      <c r="E10" s="120"/>
      <c r="F10" s="280"/>
      <c r="G10" s="142" t="str">
        <f t="shared" si="0"/>
        <v/>
      </c>
      <c r="H10" s="161"/>
      <c r="I10" s="161"/>
      <c r="J10" s="161"/>
      <c r="K10" s="161"/>
      <c r="L10" s="161"/>
      <c r="M10" s="142"/>
      <c r="N10" s="162"/>
      <c r="O10" s="142"/>
      <c r="P10" s="142"/>
      <c r="Q10" s="142" t="str">
        <f t="shared" si="1"/>
        <v/>
      </c>
      <c r="R10" s="120"/>
    </row>
    <row r="11" spans="1:18" ht="15.75" customHeight="1">
      <c r="A11" s="153">
        <v>5</v>
      </c>
      <c r="B11" s="474"/>
      <c r="C11" s="474"/>
      <c r="D11" s="105"/>
      <c r="E11" s="120"/>
      <c r="F11" s="280"/>
      <c r="G11" s="142" t="str">
        <f t="shared" si="0"/>
        <v/>
      </c>
      <c r="H11" s="161"/>
      <c r="I11" s="161"/>
      <c r="J11" s="161"/>
      <c r="K11" s="161"/>
      <c r="L11" s="161"/>
      <c r="M11" s="142"/>
      <c r="N11" s="162"/>
      <c r="O11" s="142"/>
      <c r="P11" s="142"/>
      <c r="Q11" s="142" t="str">
        <f t="shared" si="1"/>
        <v/>
      </c>
      <c r="R11" s="120"/>
    </row>
    <row r="12" spans="1:18" ht="15.75" customHeight="1">
      <c r="A12" s="105"/>
      <c r="B12" s="474"/>
      <c r="C12" s="474"/>
      <c r="D12" s="105"/>
      <c r="E12" s="120"/>
      <c r="F12" s="280"/>
      <c r="G12" s="142" t="str">
        <f t="shared" si="0"/>
        <v/>
      </c>
      <c r="H12" s="161"/>
      <c r="I12" s="161"/>
      <c r="J12" s="161"/>
      <c r="K12" s="161"/>
      <c r="L12" s="161"/>
      <c r="M12" s="142"/>
      <c r="N12" s="162"/>
      <c r="O12" s="142"/>
      <c r="P12" s="142"/>
      <c r="Q12" s="142" t="str">
        <f t="shared" si="1"/>
        <v/>
      </c>
      <c r="R12" s="120"/>
    </row>
    <row r="13" spans="1:18" ht="15.75" customHeight="1">
      <c r="A13" s="105"/>
      <c r="B13" s="474"/>
      <c r="C13" s="474"/>
      <c r="D13" s="105"/>
      <c r="E13" s="120"/>
      <c r="F13" s="280"/>
      <c r="G13" s="142" t="str">
        <f t="shared" si="0"/>
        <v/>
      </c>
      <c r="H13" s="161"/>
      <c r="I13" s="161"/>
      <c r="J13" s="161"/>
      <c r="K13" s="161"/>
      <c r="L13" s="161"/>
      <c r="M13" s="142"/>
      <c r="N13" s="162"/>
      <c r="O13" s="142"/>
      <c r="P13" s="142"/>
      <c r="Q13" s="142" t="str">
        <f t="shared" si="1"/>
        <v/>
      </c>
      <c r="R13" s="120"/>
    </row>
    <row r="14" spans="1:18" ht="15.75" customHeight="1">
      <c r="A14" s="105"/>
      <c r="B14" s="520"/>
      <c r="C14" s="520"/>
      <c r="D14" s="105"/>
      <c r="E14" s="120"/>
      <c r="F14" s="280"/>
      <c r="G14" s="142" t="str">
        <f t="shared" si="0"/>
        <v/>
      </c>
      <c r="H14" s="161"/>
      <c r="I14" s="161"/>
      <c r="J14" s="161"/>
      <c r="K14" s="161"/>
      <c r="L14" s="161"/>
      <c r="M14" s="142"/>
      <c r="N14" s="162"/>
      <c r="O14" s="142"/>
      <c r="P14" s="142"/>
      <c r="Q14" s="142" t="str">
        <f t="shared" si="1"/>
        <v/>
      </c>
      <c r="R14" s="120"/>
    </row>
    <row r="15" spans="1:18" ht="15.75" customHeight="1">
      <c r="A15" s="105"/>
      <c r="B15" s="520"/>
      <c r="C15" s="520"/>
      <c r="D15" s="105"/>
      <c r="E15" s="120"/>
      <c r="F15" s="280"/>
      <c r="G15" s="142" t="str">
        <f t="shared" si="0"/>
        <v/>
      </c>
      <c r="H15" s="161"/>
      <c r="I15" s="161"/>
      <c r="J15" s="161"/>
      <c r="K15" s="161"/>
      <c r="L15" s="161"/>
      <c r="M15" s="142"/>
      <c r="N15" s="162"/>
      <c r="O15" s="142"/>
      <c r="P15" s="142"/>
      <c r="Q15" s="142" t="str">
        <f t="shared" si="1"/>
        <v/>
      </c>
      <c r="R15" s="120"/>
    </row>
    <row r="16" spans="1:18" ht="15.75" customHeight="1">
      <c r="A16" s="105"/>
      <c r="B16" s="474"/>
      <c r="C16" s="474"/>
      <c r="D16" s="105"/>
      <c r="E16" s="120"/>
      <c r="F16" s="280"/>
      <c r="G16" s="142" t="str">
        <f t="shared" si="0"/>
        <v/>
      </c>
      <c r="H16" s="161"/>
      <c r="I16" s="161"/>
      <c r="J16" s="161"/>
      <c r="K16" s="161"/>
      <c r="L16" s="161"/>
      <c r="M16" s="142"/>
      <c r="N16" s="162"/>
      <c r="O16" s="142"/>
      <c r="P16" s="142"/>
      <c r="Q16" s="142" t="str">
        <f t="shared" si="1"/>
        <v/>
      </c>
      <c r="R16" s="120"/>
    </row>
    <row r="17" spans="1:18" ht="15.75" customHeight="1">
      <c r="A17" s="105"/>
      <c r="B17" s="474"/>
      <c r="C17" s="474"/>
      <c r="D17" s="105"/>
      <c r="E17" s="120"/>
      <c r="F17" s="280"/>
      <c r="G17" s="142" t="str">
        <f t="shared" si="0"/>
        <v/>
      </c>
      <c r="H17" s="161"/>
      <c r="I17" s="161"/>
      <c r="J17" s="161"/>
      <c r="K17" s="161"/>
      <c r="L17" s="161"/>
      <c r="M17" s="142"/>
      <c r="N17" s="162"/>
      <c r="O17" s="142"/>
      <c r="P17" s="142"/>
      <c r="Q17" s="142" t="str">
        <f t="shared" si="1"/>
        <v/>
      </c>
      <c r="R17" s="120"/>
    </row>
    <row r="18" spans="1:18" ht="15.75" customHeight="1">
      <c r="A18" s="105"/>
      <c r="B18" s="474"/>
      <c r="C18" s="474"/>
      <c r="D18" s="105"/>
      <c r="E18" s="120"/>
      <c r="F18" s="280"/>
      <c r="G18" s="142" t="str">
        <f t="shared" si="0"/>
        <v/>
      </c>
      <c r="H18" s="161"/>
      <c r="I18" s="161"/>
      <c r="J18" s="161"/>
      <c r="K18" s="161"/>
      <c r="L18" s="161"/>
      <c r="M18" s="142"/>
      <c r="N18" s="162"/>
      <c r="O18" s="142"/>
      <c r="P18" s="142"/>
      <c r="Q18" s="142" t="str">
        <f t="shared" si="1"/>
        <v/>
      </c>
      <c r="R18" s="120"/>
    </row>
    <row r="19" spans="1:18" ht="15.75" customHeight="1">
      <c r="A19" s="105"/>
      <c r="B19" s="474"/>
      <c r="C19" s="474"/>
      <c r="D19" s="105"/>
      <c r="E19" s="120"/>
      <c r="F19" s="280"/>
      <c r="G19" s="142" t="str">
        <f t="shared" si="0"/>
        <v/>
      </c>
      <c r="H19" s="161"/>
      <c r="I19" s="161"/>
      <c r="J19" s="161"/>
      <c r="K19" s="161"/>
      <c r="L19" s="161"/>
      <c r="M19" s="142"/>
      <c r="N19" s="162"/>
      <c r="O19" s="142"/>
      <c r="P19" s="142"/>
      <c r="Q19" s="142" t="str">
        <f t="shared" si="1"/>
        <v/>
      </c>
      <c r="R19" s="120"/>
    </row>
    <row r="20" spans="1:18" ht="15.75" customHeight="1">
      <c r="A20" s="105"/>
      <c r="B20" s="474"/>
      <c r="C20" s="474"/>
      <c r="D20" s="105"/>
      <c r="E20" s="120"/>
      <c r="F20" s="280"/>
      <c r="G20" s="142" t="str">
        <f t="shared" si="0"/>
        <v/>
      </c>
      <c r="H20" s="161"/>
      <c r="I20" s="161"/>
      <c r="J20" s="161"/>
      <c r="K20" s="161"/>
      <c r="L20" s="161"/>
      <c r="M20" s="142"/>
      <c r="N20" s="162"/>
      <c r="O20" s="142"/>
      <c r="P20" s="142"/>
      <c r="Q20" s="142" t="str">
        <f t="shared" si="1"/>
        <v/>
      </c>
      <c r="R20" s="120"/>
    </row>
    <row r="21" spans="1:18" ht="15.75" customHeight="1">
      <c r="A21" s="105"/>
      <c r="B21" s="474"/>
      <c r="C21" s="474"/>
      <c r="D21" s="105"/>
      <c r="E21" s="120"/>
      <c r="F21" s="280"/>
      <c r="G21" s="142" t="str">
        <f t="shared" si="0"/>
        <v/>
      </c>
      <c r="H21" s="161"/>
      <c r="I21" s="161"/>
      <c r="J21" s="161"/>
      <c r="K21" s="161"/>
      <c r="L21" s="161"/>
      <c r="M21" s="142"/>
      <c r="N21" s="162"/>
      <c r="O21" s="142"/>
      <c r="P21" s="142"/>
      <c r="Q21" s="142" t="str">
        <f t="shared" si="1"/>
        <v/>
      </c>
      <c r="R21" s="120"/>
    </row>
    <row r="22" spans="1:18" ht="15.75" customHeight="1">
      <c r="A22" s="105"/>
      <c r="B22" s="520"/>
      <c r="C22" s="520"/>
      <c r="D22" s="105"/>
      <c r="E22" s="120"/>
      <c r="F22" s="280"/>
      <c r="G22" s="142" t="str">
        <f t="shared" si="0"/>
        <v/>
      </c>
      <c r="H22" s="161"/>
      <c r="I22" s="161"/>
      <c r="J22" s="161"/>
      <c r="K22" s="161"/>
      <c r="L22" s="161"/>
      <c r="M22" s="142"/>
      <c r="N22" s="162"/>
      <c r="O22" s="142"/>
      <c r="P22" s="142"/>
      <c r="Q22" s="142" t="str">
        <f t="shared" si="1"/>
        <v/>
      </c>
      <c r="R22" s="120"/>
    </row>
    <row r="23" spans="1:18" ht="15.75" customHeight="1">
      <c r="A23" s="105"/>
      <c r="B23" s="520"/>
      <c r="C23" s="520"/>
      <c r="D23" s="105"/>
      <c r="E23" s="120"/>
      <c r="F23" s="280"/>
      <c r="G23" s="142" t="str">
        <f t="shared" si="0"/>
        <v/>
      </c>
      <c r="H23" s="161"/>
      <c r="I23" s="161"/>
      <c r="J23" s="161"/>
      <c r="K23" s="161"/>
      <c r="L23" s="161"/>
      <c r="M23" s="142"/>
      <c r="N23" s="162"/>
      <c r="O23" s="142"/>
      <c r="P23" s="142"/>
      <c r="Q23" s="142" t="str">
        <f t="shared" si="1"/>
        <v/>
      </c>
      <c r="R23" s="120"/>
    </row>
    <row r="24" spans="1:18" ht="15.75" customHeight="1">
      <c r="A24" s="105"/>
      <c r="B24" s="474"/>
      <c r="C24" s="474"/>
      <c r="D24" s="105"/>
      <c r="E24" s="120"/>
      <c r="F24" s="280"/>
      <c r="G24" s="142" t="str">
        <f t="shared" si="0"/>
        <v/>
      </c>
      <c r="H24" s="161"/>
      <c r="I24" s="161"/>
      <c r="J24" s="161"/>
      <c r="K24" s="161"/>
      <c r="L24" s="161"/>
      <c r="M24" s="142"/>
      <c r="N24" s="162"/>
      <c r="O24" s="142"/>
      <c r="P24" s="142"/>
      <c r="Q24" s="142" t="str">
        <f t="shared" si="1"/>
        <v/>
      </c>
      <c r="R24" s="120"/>
    </row>
    <row r="25" spans="1:18" ht="15.75" customHeight="1">
      <c r="A25" s="105"/>
      <c r="B25" s="474"/>
      <c r="C25" s="474"/>
      <c r="D25" s="105"/>
      <c r="E25" s="120"/>
      <c r="F25" s="280"/>
      <c r="G25" s="142" t="str">
        <f t="shared" si="0"/>
        <v/>
      </c>
      <c r="H25" s="161"/>
      <c r="I25" s="161"/>
      <c r="J25" s="161"/>
      <c r="K25" s="161"/>
      <c r="L25" s="161"/>
      <c r="M25" s="142"/>
      <c r="N25" s="162"/>
      <c r="O25" s="142"/>
      <c r="P25" s="142"/>
      <c r="Q25" s="142" t="str">
        <f t="shared" si="1"/>
        <v/>
      </c>
      <c r="R25" s="120"/>
    </row>
    <row r="26" spans="1:18" ht="15.75" customHeight="1">
      <c r="A26" s="105"/>
      <c r="B26" s="474"/>
      <c r="C26" s="474"/>
      <c r="D26" s="105"/>
      <c r="E26" s="120"/>
      <c r="F26" s="280"/>
      <c r="G26" s="161"/>
      <c r="H26" s="161"/>
      <c r="I26" s="161"/>
      <c r="J26" s="161"/>
      <c r="K26" s="161"/>
      <c r="L26" s="161"/>
      <c r="M26" s="142"/>
      <c r="N26" s="162"/>
      <c r="O26" s="142"/>
      <c r="P26" s="142"/>
      <c r="Q26" s="142"/>
      <c r="R26" s="120"/>
    </row>
    <row r="27" spans="1:18" ht="15.75" customHeight="1">
      <c r="A27" s="809" t="s">
        <v>54</v>
      </c>
      <c r="B27" s="810"/>
      <c r="C27" s="110"/>
      <c r="D27" s="105"/>
      <c r="E27" s="120"/>
      <c r="F27" s="162"/>
      <c r="G27" s="142"/>
      <c r="H27" s="142">
        <f>SUM(H7:H26)</f>
        <v>0</v>
      </c>
      <c r="I27" s="142"/>
      <c r="J27" s="142"/>
      <c r="K27" s="142"/>
      <c r="L27" s="142"/>
      <c r="M27" s="142">
        <f>SUM(M7:M26)</f>
        <v>0</v>
      </c>
      <c r="N27" s="162"/>
      <c r="O27" s="142"/>
      <c r="P27" s="142">
        <f>SUM(P7:P26)</f>
        <v>0</v>
      </c>
      <c r="Q27" s="142" t="str">
        <f>IF(M27=0,"",(P27-M27)/M27*100)</f>
        <v/>
      </c>
      <c r="R27" s="120"/>
    </row>
    <row r="28" spans="1:18" ht="15.75" customHeight="1">
      <c r="A28" s="101" t="e">
        <f>#REF!&amp;#REF!</f>
        <v>#REF!</v>
      </c>
      <c r="M28" s="115" t="e">
        <f>"评估人员："&amp;#REF!</f>
        <v>#REF!</v>
      </c>
    </row>
    <row r="29" spans="1:18" ht="15.75" customHeight="1">
      <c r="A29" s="101" t="e">
        <f>CONCATENATE(#REF!,#REF!,#REF!,#REF!,#REF!,#REF!,#REF!)</f>
        <v>#REF!</v>
      </c>
    </row>
  </sheetData>
  <mergeCells count="14">
    <mergeCell ref="A27:B27"/>
    <mergeCell ref="K5:M5"/>
    <mergeCell ref="N5:P5"/>
    <mergeCell ref="R5:R6"/>
    <mergeCell ref="D5:D6"/>
    <mergeCell ref="A2:R2"/>
    <mergeCell ref="E5:E6"/>
    <mergeCell ref="A3:R3"/>
    <mergeCell ref="A5:A6"/>
    <mergeCell ref="J5:J6"/>
    <mergeCell ref="C5:C6"/>
    <mergeCell ref="F5:I5"/>
    <mergeCell ref="B5:B6"/>
    <mergeCell ref="Q5:Q6"/>
  </mergeCells>
  <phoneticPr fontId="6" type="noConversion"/>
  <hyperlinks>
    <hyperlink ref="A1" location="索引目录!E24" display="发出商品"/>
    <hyperlink ref="B1" location="存货汇总!B12" display="发出商品"/>
  </hyperlinks>
  <printOptions horizontalCentered="1"/>
  <pageMargins left="0.35433070866141736" right="0.35433070866141736" top="0.78740157480314965" bottom="0.78740157480314965" header="1.06" footer="0.51181102362204722"/>
  <pageSetup paperSize="9" scale="67" fitToHeight="0" orientation="landscape" horizontalDpi="4294967292" r:id="rId1"/>
  <headerFooter alignWithMargins="0">
    <oddHeader>&amp;R&amp;"宋体,常规"&amp;10表&amp;"Times New Roman,常规"3-9-7
&amp;"宋体,常规"共&amp;"Times New Roman,常规"&amp;N&amp;"宋体,常规"页第&amp;"Times New Roman,常规"&amp;P&amp;"宋体,常规"页</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X25"/>
  <sheetViews>
    <sheetView workbookViewId="0">
      <pane xSplit="3" ySplit="6" topLeftCell="D13" activePane="bottomRight" state="frozen"/>
      <selection activeCell="M7" sqref="M7"/>
      <selection pane="topRight" activeCell="M7" sqref="M7"/>
      <selection pane="bottomLeft" activeCell="M7" sqref="M7"/>
      <selection pane="bottomRight" activeCell="M7" sqref="M7"/>
    </sheetView>
  </sheetViews>
  <sheetFormatPr defaultRowHeight="15.75" customHeight="1" outlineLevelCol="1"/>
  <cols>
    <col min="1" max="1" width="4.75" style="4" customWidth="1"/>
    <col min="2" max="2" width="15.25" style="4" customWidth="1"/>
    <col min="3" max="3" width="13.25" style="4" customWidth="1"/>
    <col min="4" max="4" width="9.25" style="138" customWidth="1"/>
    <col min="5" max="5" width="9" style="138" customWidth="1"/>
    <col min="6" max="6" width="5" style="4" customWidth="1"/>
    <col min="7" max="7" width="6.125" style="4" customWidth="1" outlineLevel="1"/>
    <col min="8" max="8" width="9.75" style="4" customWidth="1" outlineLevel="1"/>
    <col min="9" max="9" width="6.625" style="4" customWidth="1" outlineLevel="1"/>
    <col min="10" max="10" width="5.125" style="4" customWidth="1" outlineLevel="1"/>
    <col min="11" max="11" width="6.125" style="4" customWidth="1"/>
    <col min="12" max="12" width="9.5" style="4" customWidth="1"/>
    <col min="13" max="13" width="5" style="4" customWidth="1"/>
    <col min="14" max="14" width="8.5" style="4" customWidth="1" outlineLevel="1"/>
    <col min="15" max="15" width="8.375" style="4" customWidth="1" outlineLevel="1"/>
    <col min="16" max="16" width="10.625" style="4" customWidth="1" outlineLevel="1"/>
    <col min="17" max="17" width="5.25" style="4" customWidth="1" outlineLevel="1"/>
    <col min="18" max="18" width="7.25" style="4" customWidth="1"/>
    <col min="19" max="19" width="7.5" style="4" customWidth="1"/>
    <col min="20" max="20" width="9" style="4" outlineLevel="1"/>
    <col min="21" max="21" width="7.875" style="4" customWidth="1" outlineLevel="1"/>
    <col min="22" max="24" width="9" style="4" outlineLevel="1"/>
    <col min="25" max="16384" width="9" style="4"/>
  </cols>
  <sheetData>
    <row r="1" spans="1:24" ht="9" customHeight="1">
      <c r="A1" s="272" t="s">
        <v>130</v>
      </c>
      <c r="B1" s="200" t="s">
        <v>132</v>
      </c>
      <c r="C1" s="200"/>
      <c r="D1" s="276"/>
      <c r="E1" s="276"/>
      <c r="F1" s="116"/>
      <c r="G1" s="116"/>
      <c r="H1" s="116"/>
      <c r="I1" s="116"/>
      <c r="J1" s="116"/>
      <c r="K1" s="116"/>
      <c r="L1" s="116"/>
      <c r="M1" s="116"/>
      <c r="N1" s="116"/>
      <c r="O1" s="116"/>
      <c r="P1" s="116"/>
      <c r="Q1" s="116"/>
      <c r="R1" s="116"/>
    </row>
    <row r="2" spans="1:24" s="114" customFormat="1" ht="30" customHeight="1">
      <c r="A2" s="790" t="s">
        <v>894</v>
      </c>
      <c r="B2" s="828"/>
      <c r="C2" s="828"/>
      <c r="D2" s="828"/>
      <c r="E2" s="828"/>
      <c r="F2" s="828"/>
      <c r="G2" s="828"/>
      <c r="H2" s="828"/>
      <c r="I2" s="828"/>
      <c r="J2" s="828"/>
      <c r="K2" s="828"/>
      <c r="L2" s="828"/>
      <c r="M2" s="828"/>
      <c r="N2" s="828"/>
      <c r="O2" s="828"/>
      <c r="P2" s="828"/>
      <c r="Q2" s="828"/>
      <c r="R2" s="828"/>
    </row>
    <row r="3" spans="1:24" ht="14.1" customHeight="1">
      <c r="A3" s="792" t="e">
        <f>CONCATENATE(#REF!,#REF!,#REF!,#REF!,#REF!,#REF!,#REF!)</f>
        <v>#REF!</v>
      </c>
      <c r="B3" s="792"/>
      <c r="C3" s="792"/>
      <c r="D3" s="792"/>
      <c r="E3" s="792"/>
      <c r="F3" s="792"/>
      <c r="G3" s="792"/>
      <c r="H3" s="792"/>
      <c r="I3" s="792"/>
      <c r="J3" s="792"/>
      <c r="K3" s="792"/>
      <c r="L3" s="808"/>
      <c r="M3" s="808"/>
      <c r="N3" s="808"/>
      <c r="O3" s="808"/>
      <c r="P3" s="808"/>
      <c r="Q3" s="808"/>
      <c r="R3" s="808"/>
    </row>
    <row r="4" spans="1:24" ht="15.75" customHeight="1">
      <c r="A4" s="115" t="e">
        <f>#REF!&amp;#REF!</f>
        <v>#REF!</v>
      </c>
      <c r="R4" s="106" t="s">
        <v>3</v>
      </c>
    </row>
    <row r="5" spans="1:24" s="1" customFormat="1" ht="15.75" customHeight="1">
      <c r="A5" s="815" t="s">
        <v>4</v>
      </c>
      <c r="B5" s="815" t="s">
        <v>931</v>
      </c>
      <c r="C5" s="815" t="s">
        <v>932</v>
      </c>
      <c r="D5" s="841" t="s">
        <v>269</v>
      </c>
      <c r="E5" s="843" t="s">
        <v>670</v>
      </c>
      <c r="F5" s="817" t="s">
        <v>267</v>
      </c>
      <c r="G5" s="837" t="s">
        <v>426</v>
      </c>
      <c r="H5" s="837"/>
      <c r="I5" s="846"/>
      <c r="J5" s="817" t="s">
        <v>714</v>
      </c>
      <c r="K5" s="824" t="s">
        <v>315</v>
      </c>
      <c r="L5" s="826"/>
      <c r="M5" s="817" t="s">
        <v>262</v>
      </c>
      <c r="N5" s="837" t="s">
        <v>0</v>
      </c>
      <c r="O5" s="838"/>
      <c r="P5" s="838"/>
      <c r="Q5" s="817" t="s">
        <v>20</v>
      </c>
      <c r="R5" s="815" t="s">
        <v>72</v>
      </c>
      <c r="S5" s="845" t="s">
        <v>1057</v>
      </c>
      <c r="T5" s="501"/>
      <c r="V5" s="502">
        <f>机器设备!AM4</f>
        <v>43069</v>
      </c>
    </row>
    <row r="6" spans="1:24" s="116" customFormat="1" ht="15.75" customHeight="1">
      <c r="A6" s="816"/>
      <c r="B6" s="816"/>
      <c r="C6" s="816"/>
      <c r="D6" s="842"/>
      <c r="E6" s="844"/>
      <c r="F6" s="818"/>
      <c r="G6" s="373" t="s">
        <v>87</v>
      </c>
      <c r="H6" s="373" t="s">
        <v>71</v>
      </c>
      <c r="I6" s="500" t="s">
        <v>1056</v>
      </c>
      <c r="J6" s="827"/>
      <c r="K6" s="102" t="s">
        <v>87</v>
      </c>
      <c r="L6" s="102" t="s">
        <v>71</v>
      </c>
      <c r="M6" s="818"/>
      <c r="N6" s="102" t="s">
        <v>264</v>
      </c>
      <c r="O6" s="102" t="s">
        <v>272</v>
      </c>
      <c r="P6" s="102" t="s">
        <v>71</v>
      </c>
      <c r="Q6" s="818"/>
      <c r="R6" s="816"/>
      <c r="S6" s="818"/>
      <c r="T6" s="501" t="s">
        <v>1058</v>
      </c>
      <c r="U6" s="503" t="s">
        <v>1059</v>
      </c>
      <c r="V6" s="503" t="s">
        <v>1060</v>
      </c>
      <c r="W6" s="504" t="s">
        <v>1061</v>
      </c>
      <c r="X6" s="503" t="s">
        <v>1062</v>
      </c>
    </row>
    <row r="7" spans="1:24" ht="15.75" customHeight="1">
      <c r="A7" s="105">
        <v>1</v>
      </c>
      <c r="B7" s="120"/>
      <c r="C7" s="120"/>
      <c r="D7" s="481"/>
      <c r="E7" s="201"/>
      <c r="F7" s="120"/>
      <c r="G7" s="478"/>
      <c r="H7" s="142"/>
      <c r="I7" s="142"/>
      <c r="J7" s="142"/>
      <c r="K7" s="142">
        <f>G7</f>
        <v>0</v>
      </c>
      <c r="L7" s="142">
        <f>H7+J7</f>
        <v>0</v>
      </c>
      <c r="M7" s="142"/>
      <c r="N7" s="506">
        <f>T7</f>
        <v>0</v>
      </c>
      <c r="O7" s="526">
        <f>ROUND(X7,0)</f>
        <v>-1080</v>
      </c>
      <c r="P7" s="506">
        <f>ROUND(M7*N7*O7*0.01,0)</f>
        <v>0</v>
      </c>
      <c r="Q7" s="142" t="str">
        <f>IF(L7=0,"",(P7-L7)/L7*100)</f>
        <v/>
      </c>
      <c r="R7" s="120"/>
      <c r="S7" s="490"/>
      <c r="T7" s="505"/>
      <c r="U7" s="116">
        <v>10</v>
      </c>
      <c r="V7" s="486">
        <f>(V$5-D7)/365</f>
        <v>118</v>
      </c>
      <c r="W7" s="486">
        <f>ROUND(U7-V7,0)</f>
        <v>-108</v>
      </c>
      <c r="X7" s="487">
        <f>(1-V7/U7)*100</f>
        <v>-1080</v>
      </c>
    </row>
    <row r="8" spans="1:24" ht="15.75" customHeight="1">
      <c r="A8" s="105">
        <v>2</v>
      </c>
      <c r="B8" s="120"/>
      <c r="C8" s="120"/>
      <c r="D8" s="481"/>
      <c r="E8" s="201"/>
      <c r="F8" s="120"/>
      <c r="G8" s="478"/>
      <c r="H8" s="142"/>
      <c r="I8" s="142"/>
      <c r="J8" s="142"/>
      <c r="K8" s="142">
        <f t="shared" ref="K8:K19" si="0">G8</f>
        <v>0</v>
      </c>
      <c r="L8" s="142">
        <f t="shared" ref="L8:L20" si="1">H8+J8</f>
        <v>0</v>
      </c>
      <c r="M8" s="142"/>
      <c r="N8" s="506">
        <f t="shared" ref="N8:N19" si="2">T8</f>
        <v>0</v>
      </c>
      <c r="O8" s="526" t="e">
        <f t="shared" ref="O8:O19" si="3">ROUND(X8,0)</f>
        <v>#DIV/0!</v>
      </c>
      <c r="P8" s="506" t="e">
        <f t="shared" ref="P8:P19" si="4">ROUND(M8*N8*O8*0.01,0)</f>
        <v>#DIV/0!</v>
      </c>
      <c r="Q8" s="142" t="str">
        <f t="shared" ref="Q8:Q20" si="5">IF(L8=0,"",(P8-L8)/L8*100)</f>
        <v/>
      </c>
      <c r="R8" s="120"/>
      <c r="U8" s="116"/>
      <c r="V8" s="486">
        <f t="shared" ref="V8:V20" si="6">(V$5-D8)/365</f>
        <v>118</v>
      </c>
      <c r="W8" s="486">
        <f t="shared" ref="W8:W20" si="7">ROUND(U8-V8,0)</f>
        <v>-118</v>
      </c>
      <c r="X8" s="487" t="e">
        <f t="shared" ref="X8:X20" si="8">(1-V8/U8)*100</f>
        <v>#DIV/0!</v>
      </c>
    </row>
    <row r="9" spans="1:24" ht="15.75" customHeight="1">
      <c r="A9" s="105">
        <v>3</v>
      </c>
      <c r="B9" s="120"/>
      <c r="C9" s="120"/>
      <c r="D9" s="481"/>
      <c r="E9" s="201"/>
      <c r="F9" s="120"/>
      <c r="G9" s="478"/>
      <c r="H9" s="142"/>
      <c r="I9" s="142"/>
      <c r="J9" s="142"/>
      <c r="K9" s="142">
        <f t="shared" si="0"/>
        <v>0</v>
      </c>
      <c r="L9" s="142">
        <f t="shared" si="1"/>
        <v>0</v>
      </c>
      <c r="M9" s="142"/>
      <c r="N9" s="506">
        <f t="shared" si="2"/>
        <v>0</v>
      </c>
      <c r="O9" s="526" t="e">
        <f t="shared" si="3"/>
        <v>#DIV/0!</v>
      </c>
      <c r="P9" s="506" t="e">
        <f t="shared" si="4"/>
        <v>#DIV/0!</v>
      </c>
      <c r="Q9" s="142" t="str">
        <f t="shared" si="5"/>
        <v/>
      </c>
      <c r="R9" s="120"/>
      <c r="U9" s="116"/>
      <c r="V9" s="486">
        <f t="shared" si="6"/>
        <v>118</v>
      </c>
      <c r="W9" s="486">
        <f t="shared" si="7"/>
        <v>-118</v>
      </c>
      <c r="X9" s="487" t="e">
        <f t="shared" si="8"/>
        <v>#DIV/0!</v>
      </c>
    </row>
    <row r="10" spans="1:24" ht="15.75" customHeight="1">
      <c r="A10" s="105">
        <v>4</v>
      </c>
      <c r="B10" s="120"/>
      <c r="C10" s="120"/>
      <c r="D10" s="481"/>
      <c r="E10" s="201"/>
      <c r="F10" s="120"/>
      <c r="G10" s="478"/>
      <c r="H10" s="142"/>
      <c r="I10" s="142"/>
      <c r="J10" s="142"/>
      <c r="K10" s="142">
        <f t="shared" si="0"/>
        <v>0</v>
      </c>
      <c r="L10" s="142">
        <f t="shared" si="1"/>
        <v>0</v>
      </c>
      <c r="M10" s="142"/>
      <c r="N10" s="506">
        <f t="shared" si="2"/>
        <v>0</v>
      </c>
      <c r="O10" s="526" t="e">
        <f t="shared" si="3"/>
        <v>#DIV/0!</v>
      </c>
      <c r="P10" s="506" t="e">
        <f t="shared" si="4"/>
        <v>#DIV/0!</v>
      </c>
      <c r="Q10" s="142" t="str">
        <f t="shared" si="5"/>
        <v/>
      </c>
      <c r="R10" s="120"/>
      <c r="U10" s="116"/>
      <c r="V10" s="486">
        <f t="shared" si="6"/>
        <v>118</v>
      </c>
      <c r="W10" s="486">
        <f t="shared" si="7"/>
        <v>-118</v>
      </c>
      <c r="X10" s="487" t="e">
        <f t="shared" si="8"/>
        <v>#DIV/0!</v>
      </c>
    </row>
    <row r="11" spans="1:24" ht="15.75" customHeight="1">
      <c r="A11" s="105">
        <v>5</v>
      </c>
      <c r="B11" s="120"/>
      <c r="C11" s="120"/>
      <c r="D11" s="481"/>
      <c r="E11" s="201"/>
      <c r="F11" s="120"/>
      <c r="G11" s="478"/>
      <c r="H11" s="142"/>
      <c r="I11" s="142"/>
      <c r="J11" s="142"/>
      <c r="K11" s="142">
        <f t="shared" si="0"/>
        <v>0</v>
      </c>
      <c r="L11" s="142">
        <f t="shared" si="1"/>
        <v>0</v>
      </c>
      <c r="M11" s="142"/>
      <c r="N11" s="506">
        <f t="shared" si="2"/>
        <v>0</v>
      </c>
      <c r="O11" s="526" t="e">
        <f t="shared" si="3"/>
        <v>#DIV/0!</v>
      </c>
      <c r="P11" s="506" t="e">
        <f t="shared" si="4"/>
        <v>#DIV/0!</v>
      </c>
      <c r="Q11" s="142" t="str">
        <f t="shared" si="5"/>
        <v/>
      </c>
      <c r="R11" s="120"/>
      <c r="U11" s="116"/>
      <c r="V11" s="486">
        <f t="shared" si="6"/>
        <v>118</v>
      </c>
      <c r="W11" s="486">
        <f t="shared" si="7"/>
        <v>-118</v>
      </c>
      <c r="X11" s="487" t="e">
        <f t="shared" si="8"/>
        <v>#DIV/0!</v>
      </c>
    </row>
    <row r="12" spans="1:24" ht="15.75" customHeight="1">
      <c r="A12" s="105">
        <v>6</v>
      </c>
      <c r="B12" s="120"/>
      <c r="C12" s="120"/>
      <c r="D12" s="481"/>
      <c r="E12" s="201"/>
      <c r="F12" s="120"/>
      <c r="G12" s="478"/>
      <c r="H12" s="142"/>
      <c r="I12" s="142"/>
      <c r="J12" s="142"/>
      <c r="K12" s="142">
        <f t="shared" si="0"/>
        <v>0</v>
      </c>
      <c r="L12" s="142">
        <f t="shared" si="1"/>
        <v>0</v>
      </c>
      <c r="M12" s="142"/>
      <c r="N12" s="506">
        <f t="shared" si="2"/>
        <v>0</v>
      </c>
      <c r="O12" s="526" t="e">
        <f t="shared" si="3"/>
        <v>#DIV/0!</v>
      </c>
      <c r="P12" s="506" t="e">
        <f t="shared" si="4"/>
        <v>#DIV/0!</v>
      </c>
      <c r="Q12" s="142" t="str">
        <f t="shared" si="5"/>
        <v/>
      </c>
      <c r="R12" s="120"/>
      <c r="U12" s="116"/>
      <c r="V12" s="486">
        <f t="shared" si="6"/>
        <v>118</v>
      </c>
      <c r="W12" s="486">
        <f t="shared" si="7"/>
        <v>-118</v>
      </c>
      <c r="X12" s="487" t="e">
        <f t="shared" si="8"/>
        <v>#DIV/0!</v>
      </c>
    </row>
    <row r="13" spans="1:24" ht="15.75" customHeight="1">
      <c r="A13" s="105">
        <v>7</v>
      </c>
      <c r="B13" s="120"/>
      <c r="C13" s="120"/>
      <c r="D13" s="481"/>
      <c r="E13" s="201"/>
      <c r="F13" s="120"/>
      <c r="G13" s="478"/>
      <c r="H13" s="142"/>
      <c r="I13" s="142"/>
      <c r="J13" s="142"/>
      <c r="K13" s="142">
        <f t="shared" si="0"/>
        <v>0</v>
      </c>
      <c r="L13" s="142">
        <f t="shared" si="1"/>
        <v>0</v>
      </c>
      <c r="M13" s="142"/>
      <c r="N13" s="506">
        <f t="shared" si="2"/>
        <v>0</v>
      </c>
      <c r="O13" s="526" t="e">
        <f t="shared" si="3"/>
        <v>#DIV/0!</v>
      </c>
      <c r="P13" s="506" t="e">
        <f t="shared" si="4"/>
        <v>#DIV/0!</v>
      </c>
      <c r="Q13" s="142" t="str">
        <f t="shared" si="5"/>
        <v/>
      </c>
      <c r="R13" s="120"/>
      <c r="U13" s="116"/>
      <c r="V13" s="486">
        <f t="shared" si="6"/>
        <v>118</v>
      </c>
      <c r="W13" s="486">
        <f t="shared" si="7"/>
        <v>-118</v>
      </c>
      <c r="X13" s="487" t="e">
        <f t="shared" si="8"/>
        <v>#DIV/0!</v>
      </c>
    </row>
    <row r="14" spans="1:24" ht="15.75" customHeight="1">
      <c r="A14" s="105">
        <v>8</v>
      </c>
      <c r="B14" s="120"/>
      <c r="C14" s="120"/>
      <c r="D14" s="481"/>
      <c r="E14" s="201"/>
      <c r="F14" s="120"/>
      <c r="G14" s="478"/>
      <c r="H14" s="142"/>
      <c r="I14" s="142"/>
      <c r="J14" s="142"/>
      <c r="K14" s="142">
        <f t="shared" si="0"/>
        <v>0</v>
      </c>
      <c r="L14" s="142">
        <f t="shared" si="1"/>
        <v>0</v>
      </c>
      <c r="M14" s="142"/>
      <c r="N14" s="506">
        <f t="shared" si="2"/>
        <v>0</v>
      </c>
      <c r="O14" s="526" t="e">
        <f t="shared" si="3"/>
        <v>#DIV/0!</v>
      </c>
      <c r="P14" s="506" t="e">
        <f t="shared" si="4"/>
        <v>#DIV/0!</v>
      </c>
      <c r="Q14" s="142" t="str">
        <f t="shared" si="5"/>
        <v/>
      </c>
      <c r="R14" s="120"/>
      <c r="U14" s="116"/>
      <c r="V14" s="486">
        <f t="shared" si="6"/>
        <v>118</v>
      </c>
      <c r="W14" s="486">
        <f t="shared" si="7"/>
        <v>-118</v>
      </c>
      <c r="X14" s="487" t="e">
        <f t="shared" si="8"/>
        <v>#DIV/0!</v>
      </c>
    </row>
    <row r="15" spans="1:24" ht="15.75" customHeight="1">
      <c r="A15" s="105">
        <v>9</v>
      </c>
      <c r="B15" s="120"/>
      <c r="C15" s="120"/>
      <c r="D15" s="481"/>
      <c r="E15" s="201"/>
      <c r="F15" s="120"/>
      <c r="G15" s="478"/>
      <c r="H15" s="142"/>
      <c r="I15" s="142"/>
      <c r="J15" s="142"/>
      <c r="K15" s="142">
        <f t="shared" si="0"/>
        <v>0</v>
      </c>
      <c r="L15" s="142">
        <f t="shared" si="1"/>
        <v>0</v>
      </c>
      <c r="M15" s="142"/>
      <c r="N15" s="506">
        <f t="shared" si="2"/>
        <v>0</v>
      </c>
      <c r="O15" s="526" t="e">
        <f t="shared" si="3"/>
        <v>#DIV/0!</v>
      </c>
      <c r="P15" s="506" t="e">
        <f t="shared" si="4"/>
        <v>#DIV/0!</v>
      </c>
      <c r="Q15" s="142" t="str">
        <f t="shared" si="5"/>
        <v/>
      </c>
      <c r="R15" s="120"/>
      <c r="U15" s="116"/>
      <c r="V15" s="486">
        <f t="shared" si="6"/>
        <v>118</v>
      </c>
      <c r="W15" s="486">
        <f t="shared" si="7"/>
        <v>-118</v>
      </c>
      <c r="X15" s="487" t="e">
        <f t="shared" si="8"/>
        <v>#DIV/0!</v>
      </c>
    </row>
    <row r="16" spans="1:24" ht="15.75" customHeight="1">
      <c r="A16" s="105">
        <v>10</v>
      </c>
      <c r="B16" s="120"/>
      <c r="C16" s="120"/>
      <c r="D16" s="481"/>
      <c r="E16" s="201"/>
      <c r="F16" s="120"/>
      <c r="G16" s="478"/>
      <c r="H16" s="142"/>
      <c r="I16" s="142"/>
      <c r="J16" s="142"/>
      <c r="K16" s="142">
        <f t="shared" si="0"/>
        <v>0</v>
      </c>
      <c r="L16" s="142">
        <f t="shared" si="1"/>
        <v>0</v>
      </c>
      <c r="M16" s="142"/>
      <c r="N16" s="506">
        <f t="shared" si="2"/>
        <v>0</v>
      </c>
      <c r="O16" s="526" t="e">
        <f t="shared" si="3"/>
        <v>#DIV/0!</v>
      </c>
      <c r="P16" s="506" t="e">
        <f t="shared" si="4"/>
        <v>#DIV/0!</v>
      </c>
      <c r="Q16" s="142" t="str">
        <f t="shared" si="5"/>
        <v/>
      </c>
      <c r="R16" s="120"/>
      <c r="U16" s="116"/>
      <c r="V16" s="486">
        <f t="shared" si="6"/>
        <v>118</v>
      </c>
      <c r="W16" s="486">
        <f t="shared" si="7"/>
        <v>-118</v>
      </c>
      <c r="X16" s="487" t="e">
        <f t="shared" si="8"/>
        <v>#DIV/0!</v>
      </c>
    </row>
    <row r="17" spans="1:24" ht="15.75" customHeight="1">
      <c r="A17" s="105">
        <v>11</v>
      </c>
      <c r="B17" s="120"/>
      <c r="C17" s="120"/>
      <c r="D17" s="481"/>
      <c r="E17" s="201"/>
      <c r="F17" s="120"/>
      <c r="G17" s="478"/>
      <c r="H17" s="142"/>
      <c r="I17" s="142"/>
      <c r="J17" s="142"/>
      <c r="K17" s="142">
        <f t="shared" si="0"/>
        <v>0</v>
      </c>
      <c r="L17" s="142">
        <f t="shared" si="1"/>
        <v>0</v>
      </c>
      <c r="M17" s="142"/>
      <c r="N17" s="506">
        <f t="shared" si="2"/>
        <v>0</v>
      </c>
      <c r="O17" s="526" t="e">
        <f t="shared" si="3"/>
        <v>#DIV/0!</v>
      </c>
      <c r="P17" s="506" t="e">
        <f t="shared" si="4"/>
        <v>#DIV/0!</v>
      </c>
      <c r="Q17" s="142" t="str">
        <f t="shared" si="5"/>
        <v/>
      </c>
      <c r="R17" s="120"/>
      <c r="U17" s="116"/>
      <c r="V17" s="486">
        <f t="shared" si="6"/>
        <v>118</v>
      </c>
      <c r="W17" s="486">
        <f t="shared" si="7"/>
        <v>-118</v>
      </c>
      <c r="X17" s="487" t="e">
        <f t="shared" si="8"/>
        <v>#DIV/0!</v>
      </c>
    </row>
    <row r="18" spans="1:24" ht="15.75" customHeight="1">
      <c r="A18" s="105">
        <v>12</v>
      </c>
      <c r="B18" s="120"/>
      <c r="C18" s="120"/>
      <c r="D18" s="481"/>
      <c r="E18" s="201"/>
      <c r="F18" s="120"/>
      <c r="G18" s="478"/>
      <c r="H18" s="142"/>
      <c r="I18" s="142"/>
      <c r="J18" s="142"/>
      <c r="K18" s="142">
        <f t="shared" si="0"/>
        <v>0</v>
      </c>
      <c r="L18" s="142">
        <f t="shared" si="1"/>
        <v>0</v>
      </c>
      <c r="M18" s="142"/>
      <c r="N18" s="506">
        <f t="shared" si="2"/>
        <v>0</v>
      </c>
      <c r="O18" s="526" t="e">
        <f t="shared" si="3"/>
        <v>#DIV/0!</v>
      </c>
      <c r="P18" s="506" t="e">
        <f t="shared" si="4"/>
        <v>#DIV/0!</v>
      </c>
      <c r="Q18" s="142" t="str">
        <f t="shared" si="5"/>
        <v/>
      </c>
      <c r="R18" s="120"/>
      <c r="U18" s="116"/>
      <c r="V18" s="486">
        <f t="shared" si="6"/>
        <v>118</v>
      </c>
      <c r="W18" s="486">
        <f t="shared" si="7"/>
        <v>-118</v>
      </c>
      <c r="X18" s="487" t="e">
        <f t="shared" si="8"/>
        <v>#DIV/0!</v>
      </c>
    </row>
    <row r="19" spans="1:24" ht="15.75" customHeight="1">
      <c r="A19" s="105">
        <v>13</v>
      </c>
      <c r="B19" s="120"/>
      <c r="C19" s="120"/>
      <c r="D19" s="481"/>
      <c r="E19" s="201"/>
      <c r="F19" s="120"/>
      <c r="G19" s="478"/>
      <c r="H19" s="142"/>
      <c r="I19" s="142"/>
      <c r="J19" s="142"/>
      <c r="K19" s="142">
        <f t="shared" si="0"/>
        <v>0</v>
      </c>
      <c r="L19" s="142">
        <f t="shared" si="1"/>
        <v>0</v>
      </c>
      <c r="M19" s="142"/>
      <c r="N19" s="506">
        <f t="shared" si="2"/>
        <v>0</v>
      </c>
      <c r="O19" s="526" t="e">
        <f t="shared" si="3"/>
        <v>#DIV/0!</v>
      </c>
      <c r="P19" s="506" t="e">
        <f t="shared" si="4"/>
        <v>#DIV/0!</v>
      </c>
      <c r="Q19" s="142" t="str">
        <f t="shared" si="5"/>
        <v/>
      </c>
      <c r="R19" s="120"/>
      <c r="U19" s="116"/>
      <c r="V19" s="486">
        <f t="shared" si="6"/>
        <v>118</v>
      </c>
      <c r="W19" s="486">
        <f t="shared" si="7"/>
        <v>-118</v>
      </c>
      <c r="X19" s="487" t="e">
        <f t="shared" si="8"/>
        <v>#DIV/0!</v>
      </c>
    </row>
    <row r="20" spans="1:24" ht="15.75" customHeight="1">
      <c r="A20" s="105">
        <v>14</v>
      </c>
      <c r="B20" s="120"/>
      <c r="C20" s="120"/>
      <c r="D20" s="481"/>
      <c r="E20" s="201"/>
      <c r="F20" s="120"/>
      <c r="G20" s="478"/>
      <c r="H20" s="142"/>
      <c r="I20" s="142"/>
      <c r="J20" s="142"/>
      <c r="K20" s="142">
        <f>G20</f>
        <v>0</v>
      </c>
      <c r="L20" s="142">
        <f t="shared" si="1"/>
        <v>0</v>
      </c>
      <c r="M20" s="142"/>
      <c r="N20" s="506">
        <f>T20</f>
        <v>0</v>
      </c>
      <c r="O20" s="526" t="e">
        <f>ROUND(X20,0)</f>
        <v>#DIV/0!</v>
      </c>
      <c r="P20" s="506" t="e">
        <f>ROUND(M20*N20*O20*0.01,0)</f>
        <v>#DIV/0!</v>
      </c>
      <c r="Q20" s="142" t="str">
        <f t="shared" si="5"/>
        <v/>
      </c>
      <c r="R20" s="120"/>
      <c r="U20" s="116"/>
      <c r="V20" s="486">
        <f t="shared" si="6"/>
        <v>118</v>
      </c>
      <c r="W20" s="486">
        <f t="shared" si="7"/>
        <v>-118</v>
      </c>
      <c r="X20" s="487" t="e">
        <f t="shared" si="8"/>
        <v>#DIV/0!</v>
      </c>
    </row>
    <row r="21" spans="1:24" ht="15.75" customHeight="1">
      <c r="A21" s="105"/>
      <c r="B21" s="128"/>
      <c r="C21" s="128"/>
      <c r="D21" s="201"/>
      <c r="E21" s="201"/>
      <c r="F21" s="105"/>
      <c r="G21" s="162"/>
      <c r="H21" s="142"/>
      <c r="I21" s="142"/>
      <c r="J21" s="142"/>
      <c r="K21" s="142"/>
      <c r="L21" s="142"/>
      <c r="M21" s="162"/>
      <c r="N21" s="142"/>
      <c r="O21" s="153"/>
      <c r="P21" s="142"/>
      <c r="Q21" s="142"/>
      <c r="R21" s="120"/>
    </row>
    <row r="22" spans="1:24" ht="15.75" customHeight="1">
      <c r="A22" s="105"/>
      <c r="B22" s="128"/>
      <c r="C22" s="128"/>
      <c r="D22" s="201"/>
      <c r="E22" s="201"/>
      <c r="F22" s="105"/>
      <c r="G22" s="162"/>
      <c r="H22" s="142"/>
      <c r="I22" s="142"/>
      <c r="J22" s="142"/>
      <c r="K22" s="142"/>
      <c r="L22" s="142"/>
      <c r="M22" s="162"/>
      <c r="N22" s="142"/>
      <c r="O22" s="153"/>
      <c r="P22" s="142"/>
      <c r="Q22" s="142"/>
      <c r="R22" s="120"/>
    </row>
    <row r="23" spans="1:24" ht="15.75" customHeight="1">
      <c r="A23" s="809" t="s">
        <v>54</v>
      </c>
      <c r="B23" s="810"/>
      <c r="C23" s="110"/>
      <c r="D23" s="277"/>
      <c r="E23" s="277"/>
      <c r="F23" s="120"/>
      <c r="G23" s="162"/>
      <c r="H23" s="142">
        <f>SUM(H7:H22)</f>
        <v>0</v>
      </c>
      <c r="I23" s="142"/>
      <c r="J23" s="142"/>
      <c r="K23" s="142"/>
      <c r="L23" s="142">
        <f>SUM(L7:L22)</f>
        <v>0</v>
      </c>
      <c r="M23" s="162"/>
      <c r="N23" s="142"/>
      <c r="O23" s="153"/>
      <c r="P23" s="142"/>
      <c r="Q23" s="142" t="str">
        <f>IF(L23=0,"",(P23-L23)/L23*100)</f>
        <v/>
      </c>
      <c r="R23" s="120"/>
    </row>
    <row r="24" spans="1:24" ht="15.75" customHeight="1">
      <c r="A24" s="101" t="e">
        <f>#REF!&amp;#REF!</f>
        <v>#REF!</v>
      </c>
      <c r="G24" s="115"/>
      <c r="L24" s="115" t="e">
        <f>"评估人员："&amp;#REF!</f>
        <v>#REF!</v>
      </c>
    </row>
    <row r="25" spans="1:24" ht="15.75" customHeight="1">
      <c r="A25" s="101" t="e">
        <f>CONCATENATE(#REF!,#REF!,#REF!,#REF!,#REF!,#REF!,#REF!)</f>
        <v>#REF!</v>
      </c>
    </row>
  </sheetData>
  <mergeCells count="17">
    <mergeCell ref="S5:S6"/>
    <mergeCell ref="A23:B23"/>
    <mergeCell ref="A3:R3"/>
    <mergeCell ref="Q5:Q6"/>
    <mergeCell ref="R5:R6"/>
    <mergeCell ref="N5:P5"/>
    <mergeCell ref="C5:C6"/>
    <mergeCell ref="G5:I5"/>
    <mergeCell ref="A2:R2"/>
    <mergeCell ref="A5:A6"/>
    <mergeCell ref="B5:B6"/>
    <mergeCell ref="F5:F6"/>
    <mergeCell ref="M5:M6"/>
    <mergeCell ref="D5:D6"/>
    <mergeCell ref="E5:E6"/>
    <mergeCell ref="J5:J6"/>
    <mergeCell ref="K5:L5"/>
  </mergeCells>
  <phoneticPr fontId="6" type="noConversion"/>
  <hyperlinks>
    <hyperlink ref="A1" location="索引目录!E25" display="在用周转材料"/>
    <hyperlink ref="B1" location="存货汇总!B13" display="在用周转材料"/>
  </hyperlinks>
  <printOptions horizontalCentered="1"/>
  <pageMargins left="0.35433070866141736" right="0.35433070866141736" top="0.78740157480314965" bottom="0.78740157480314965" header="1.06" footer="0.51181102362204722"/>
  <pageSetup paperSize="9" scale="76" fitToHeight="0" orientation="landscape" horizontalDpi="4294967292" r:id="rId1"/>
  <headerFooter alignWithMargins="0">
    <oddHeader>&amp;R&amp;"宋体,常规"&amp;10表&amp;"Times New Roman,常规"3-9-8
&amp;"宋体,常规"共&amp;"Times New Roman,常规"&amp;N&amp;"宋体,常规"页第&amp;"Times New Roman,常规"&amp;P&amp;"宋体,常规"页</oddHead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pageSetUpPr fitToPage="1"/>
  </sheetPr>
  <dimension ref="A1:J29"/>
  <sheetViews>
    <sheetView workbookViewId="0">
      <selection activeCell="H10" sqref="H10"/>
    </sheetView>
  </sheetViews>
  <sheetFormatPr defaultRowHeight="15.75" customHeight="1" outlineLevelCol="1"/>
  <cols>
    <col min="1" max="1" width="5.75" style="4" customWidth="1"/>
    <col min="2" max="2" width="21.375" style="4" customWidth="1"/>
    <col min="3" max="3" width="13.25" style="4" customWidth="1"/>
    <col min="4" max="4" width="16.5" style="4" customWidth="1"/>
    <col min="5" max="6" width="16.375" style="4" customWidth="1" outlineLevel="1"/>
    <col min="7" max="7" width="19.375" style="4" customWidth="1"/>
    <col min="8" max="8" width="19.125" style="4" customWidth="1"/>
    <col min="9" max="9" width="12.875" style="4" customWidth="1"/>
    <col min="10" max="10" width="14.625" style="4" customWidth="1"/>
    <col min="11" max="16384" width="9" style="4"/>
  </cols>
  <sheetData>
    <row r="1" spans="1:10" ht="14.25">
      <c r="A1" s="272" t="s">
        <v>130</v>
      </c>
      <c r="B1" s="196" t="s">
        <v>132</v>
      </c>
      <c r="C1" s="1"/>
      <c r="D1" s="1"/>
      <c r="E1" s="1"/>
      <c r="F1" s="1"/>
      <c r="G1" s="1"/>
      <c r="H1" s="1"/>
      <c r="I1" s="1"/>
      <c r="J1" s="1"/>
    </row>
    <row r="2" spans="1:10" s="114" customFormat="1" ht="30" customHeight="1">
      <c r="A2" s="790" t="s">
        <v>893</v>
      </c>
      <c r="B2" s="791"/>
      <c r="C2" s="791"/>
      <c r="D2" s="791"/>
      <c r="E2" s="791"/>
      <c r="F2" s="791"/>
      <c r="G2" s="791"/>
      <c r="H2" s="791"/>
      <c r="I2" s="791"/>
      <c r="J2" s="791"/>
    </row>
    <row r="3" spans="1:10" ht="14.1" customHeight="1">
      <c r="A3" s="792" t="e">
        <f>CONCATENATE(#REF!,#REF!,#REF!,#REF!,#REF!,#REF!,#REF!)</f>
        <v>#REF!</v>
      </c>
      <c r="B3" s="792"/>
      <c r="C3" s="792"/>
      <c r="D3" s="792"/>
      <c r="E3" s="792"/>
      <c r="F3" s="792"/>
      <c r="G3" s="792"/>
      <c r="H3" s="808"/>
      <c r="I3" s="808"/>
      <c r="J3" s="808"/>
    </row>
    <row r="4" spans="1:10" ht="15.75" customHeight="1">
      <c r="A4" s="115" t="e">
        <f>#REF!&amp;#REF!</f>
        <v>#REF!</v>
      </c>
      <c r="J4" s="106" t="s">
        <v>3</v>
      </c>
    </row>
    <row r="5" spans="1:10" s="1" customFormat="1" ht="15.75" customHeight="1">
      <c r="A5" s="2" t="s">
        <v>4</v>
      </c>
      <c r="B5" s="2" t="s">
        <v>293</v>
      </c>
      <c r="C5" s="2" t="s">
        <v>381</v>
      </c>
      <c r="D5" s="2" t="s">
        <v>383</v>
      </c>
      <c r="E5" s="2" t="s">
        <v>426</v>
      </c>
      <c r="F5" s="2" t="s">
        <v>710</v>
      </c>
      <c r="G5" s="2" t="s">
        <v>315</v>
      </c>
      <c r="H5" s="2" t="s">
        <v>0</v>
      </c>
      <c r="I5" s="2" t="s">
        <v>20</v>
      </c>
      <c r="J5" s="2" t="s">
        <v>72</v>
      </c>
    </row>
    <row r="6" spans="1:10" ht="15.75" customHeight="1">
      <c r="A6" s="105"/>
      <c r="B6" s="128"/>
      <c r="C6" s="105"/>
      <c r="D6" s="105"/>
      <c r="E6" s="142"/>
      <c r="F6" s="142"/>
      <c r="G6" s="142"/>
      <c r="H6" s="142"/>
      <c r="I6" s="142" t="str">
        <f>IF(G6=0,"",(H6-G6)/G6*100)</f>
        <v/>
      </c>
      <c r="J6" s="120"/>
    </row>
    <row r="7" spans="1:10" ht="15.75" customHeight="1">
      <c r="A7" s="120"/>
      <c r="B7" s="128"/>
      <c r="C7" s="121"/>
      <c r="D7" s="121"/>
      <c r="E7" s="142"/>
      <c r="F7" s="142"/>
      <c r="G7" s="142"/>
      <c r="H7" s="142"/>
      <c r="I7" s="142" t="str">
        <f t="shared" ref="I7:I27" si="0">IF(G7=0,"",(H7-G7)/G7*100)</f>
        <v/>
      </c>
      <c r="J7" s="120"/>
    </row>
    <row r="8" spans="1:10" ht="15.75" customHeight="1">
      <c r="A8" s="120"/>
      <c r="B8" s="128"/>
      <c r="C8" s="121"/>
      <c r="D8" s="121"/>
      <c r="E8" s="142"/>
      <c r="F8" s="142"/>
      <c r="G8" s="142"/>
      <c r="H8" s="142"/>
      <c r="I8" s="142" t="str">
        <f t="shared" si="0"/>
        <v/>
      </c>
      <c r="J8" s="120"/>
    </row>
    <row r="9" spans="1:10" ht="15.75" customHeight="1">
      <c r="A9" s="120"/>
      <c r="B9" s="128"/>
      <c r="C9" s="121"/>
      <c r="D9" s="121"/>
      <c r="E9" s="142"/>
      <c r="F9" s="142"/>
      <c r="G9" s="142"/>
      <c r="H9" s="142"/>
      <c r="I9" s="142" t="str">
        <f t="shared" si="0"/>
        <v/>
      </c>
      <c r="J9" s="120"/>
    </row>
    <row r="10" spans="1:10" ht="15.75" customHeight="1">
      <c r="A10" s="120"/>
      <c r="B10" s="128"/>
      <c r="C10" s="121"/>
      <c r="D10" s="121"/>
      <c r="E10" s="142"/>
      <c r="F10" s="142"/>
      <c r="G10" s="142"/>
      <c r="H10" s="142"/>
      <c r="I10" s="142" t="str">
        <f t="shared" si="0"/>
        <v/>
      </c>
      <c r="J10" s="120"/>
    </row>
    <row r="11" spans="1:10" ht="15.75" customHeight="1">
      <c r="A11" s="120"/>
      <c r="B11" s="128"/>
      <c r="C11" s="121"/>
      <c r="D11" s="121"/>
      <c r="E11" s="142"/>
      <c r="F11" s="142"/>
      <c r="G11" s="142"/>
      <c r="H11" s="142"/>
      <c r="I11" s="142" t="str">
        <f t="shared" si="0"/>
        <v/>
      </c>
      <c r="J11" s="120"/>
    </row>
    <row r="12" spans="1:10" ht="15.75" customHeight="1">
      <c r="A12" s="120"/>
      <c r="B12" s="128"/>
      <c r="C12" s="121"/>
      <c r="D12" s="121"/>
      <c r="E12" s="142"/>
      <c r="F12" s="142"/>
      <c r="G12" s="142"/>
      <c r="H12" s="142"/>
      <c r="I12" s="142" t="str">
        <f t="shared" si="0"/>
        <v/>
      </c>
      <c r="J12" s="120"/>
    </row>
    <row r="13" spans="1:10" ht="15.75" customHeight="1">
      <c r="A13" s="120"/>
      <c r="B13" s="128"/>
      <c r="C13" s="121"/>
      <c r="D13" s="121"/>
      <c r="E13" s="142"/>
      <c r="F13" s="142"/>
      <c r="G13" s="142"/>
      <c r="H13" s="142"/>
      <c r="I13" s="142" t="str">
        <f t="shared" si="0"/>
        <v/>
      </c>
      <c r="J13" s="120"/>
    </row>
    <row r="14" spans="1:10" ht="15.75" customHeight="1">
      <c r="A14" s="120"/>
      <c r="B14" s="128"/>
      <c r="C14" s="121"/>
      <c r="D14" s="121"/>
      <c r="E14" s="142"/>
      <c r="F14" s="142"/>
      <c r="G14" s="142"/>
      <c r="H14" s="142"/>
      <c r="I14" s="142" t="str">
        <f t="shared" si="0"/>
        <v/>
      </c>
      <c r="J14" s="120"/>
    </row>
    <row r="15" spans="1:10" ht="15.75" customHeight="1">
      <c r="A15" s="120"/>
      <c r="B15" s="128"/>
      <c r="C15" s="121"/>
      <c r="D15" s="121"/>
      <c r="E15" s="142"/>
      <c r="F15" s="142"/>
      <c r="G15" s="142"/>
      <c r="H15" s="142"/>
      <c r="I15" s="142" t="str">
        <f t="shared" si="0"/>
        <v/>
      </c>
      <c r="J15" s="120"/>
    </row>
    <row r="16" spans="1:10" ht="15.75" customHeight="1">
      <c r="A16" s="120"/>
      <c r="B16" s="128"/>
      <c r="C16" s="121"/>
      <c r="D16" s="121"/>
      <c r="E16" s="142"/>
      <c r="F16" s="142"/>
      <c r="G16" s="142"/>
      <c r="H16" s="142"/>
      <c r="I16" s="142" t="str">
        <f t="shared" si="0"/>
        <v/>
      </c>
      <c r="J16" s="120"/>
    </row>
    <row r="17" spans="1:10" ht="15.75" customHeight="1">
      <c r="A17" s="120"/>
      <c r="B17" s="128"/>
      <c r="C17" s="121"/>
      <c r="D17" s="121"/>
      <c r="E17" s="142"/>
      <c r="F17" s="142"/>
      <c r="G17" s="142"/>
      <c r="H17" s="142"/>
      <c r="I17" s="142" t="str">
        <f t="shared" si="0"/>
        <v/>
      </c>
      <c r="J17" s="120"/>
    </row>
    <row r="18" spans="1:10" ht="15.75" customHeight="1">
      <c r="A18" s="120"/>
      <c r="B18" s="128"/>
      <c r="C18" s="121"/>
      <c r="D18" s="121"/>
      <c r="E18" s="142"/>
      <c r="F18" s="142"/>
      <c r="G18" s="142"/>
      <c r="H18" s="142"/>
      <c r="I18" s="142" t="str">
        <f t="shared" si="0"/>
        <v/>
      </c>
      <c r="J18" s="120"/>
    </row>
    <row r="19" spans="1:10" ht="15.75" customHeight="1">
      <c r="A19" s="120"/>
      <c r="B19" s="128"/>
      <c r="C19" s="121"/>
      <c r="D19" s="121"/>
      <c r="E19" s="142"/>
      <c r="F19" s="142"/>
      <c r="G19" s="142"/>
      <c r="H19" s="142"/>
      <c r="I19" s="142" t="str">
        <f t="shared" si="0"/>
        <v/>
      </c>
      <c r="J19" s="120"/>
    </row>
    <row r="20" spans="1:10" ht="15.75" customHeight="1">
      <c r="A20" s="120"/>
      <c r="B20" s="128"/>
      <c r="C20" s="121"/>
      <c r="D20" s="121"/>
      <c r="E20" s="142"/>
      <c r="F20" s="142"/>
      <c r="G20" s="142"/>
      <c r="H20" s="142"/>
      <c r="I20" s="142" t="str">
        <f t="shared" si="0"/>
        <v/>
      </c>
      <c r="J20" s="120"/>
    </row>
    <row r="21" spans="1:10" ht="15.75" customHeight="1">
      <c r="A21" s="120"/>
      <c r="B21" s="128"/>
      <c r="C21" s="121"/>
      <c r="D21" s="121"/>
      <c r="E21" s="142"/>
      <c r="F21" s="142"/>
      <c r="G21" s="142"/>
      <c r="H21" s="142"/>
      <c r="I21" s="142" t="str">
        <f t="shared" si="0"/>
        <v/>
      </c>
      <c r="J21" s="120"/>
    </row>
    <row r="22" spans="1:10" ht="15.75" customHeight="1">
      <c r="A22" s="120"/>
      <c r="B22" s="128"/>
      <c r="C22" s="121"/>
      <c r="D22" s="121"/>
      <c r="E22" s="142"/>
      <c r="F22" s="142"/>
      <c r="G22" s="142"/>
      <c r="H22" s="142"/>
      <c r="I22" s="142" t="str">
        <f t="shared" si="0"/>
        <v/>
      </c>
      <c r="J22" s="120"/>
    </row>
    <row r="23" spans="1:10" ht="15.75" customHeight="1">
      <c r="A23" s="120"/>
      <c r="B23" s="128"/>
      <c r="C23" s="121"/>
      <c r="D23" s="121"/>
      <c r="E23" s="142"/>
      <c r="F23" s="142"/>
      <c r="G23" s="142"/>
      <c r="H23" s="142"/>
      <c r="I23" s="142" t="str">
        <f t="shared" si="0"/>
        <v/>
      </c>
      <c r="J23" s="120"/>
    </row>
    <row r="24" spans="1:10" ht="15.75" customHeight="1">
      <c r="A24" s="120"/>
      <c r="B24" s="128"/>
      <c r="C24" s="121"/>
      <c r="D24" s="121"/>
      <c r="E24" s="142"/>
      <c r="F24" s="142"/>
      <c r="G24" s="142"/>
      <c r="H24" s="142"/>
      <c r="I24" s="142" t="str">
        <f t="shared" si="0"/>
        <v/>
      </c>
      <c r="J24" s="120"/>
    </row>
    <row r="25" spans="1:10" ht="15.75" customHeight="1">
      <c r="A25" s="120"/>
      <c r="B25" s="128"/>
      <c r="C25" s="121"/>
      <c r="D25" s="121"/>
      <c r="E25" s="142"/>
      <c r="F25" s="142"/>
      <c r="G25" s="142"/>
      <c r="H25" s="142"/>
      <c r="I25" s="142" t="str">
        <f t="shared" si="0"/>
        <v/>
      </c>
      <c r="J25" s="120"/>
    </row>
    <row r="26" spans="1:10" ht="15.75" customHeight="1">
      <c r="A26" s="120"/>
      <c r="B26" s="128"/>
      <c r="C26" s="121"/>
      <c r="D26" s="121"/>
      <c r="E26" s="142"/>
      <c r="F26" s="142"/>
      <c r="G26" s="142"/>
      <c r="H26" s="142"/>
      <c r="I26" s="142"/>
      <c r="J26" s="120"/>
    </row>
    <row r="27" spans="1:10" ht="15.75" customHeight="1">
      <c r="A27" s="809" t="s">
        <v>54</v>
      </c>
      <c r="B27" s="810"/>
      <c r="C27" s="121"/>
      <c r="D27" s="121"/>
      <c r="E27" s="142">
        <f>SUM(E6:E26)</f>
        <v>0</v>
      </c>
      <c r="F27" s="142"/>
      <c r="G27" s="142">
        <f>SUM(G6:G26)</f>
        <v>0</v>
      </c>
      <c r="H27" s="142">
        <f>SUM(H6:H26)</f>
        <v>0</v>
      </c>
      <c r="I27" s="142" t="str">
        <f t="shared" si="0"/>
        <v/>
      </c>
      <c r="J27" s="120"/>
    </row>
    <row r="28" spans="1:10" ht="15.75" customHeight="1">
      <c r="A28" s="101" t="e">
        <f>#REF!&amp;#REF!</f>
        <v>#REF!</v>
      </c>
      <c r="G28" s="115" t="e">
        <f>"评估人员："&amp;#REF!</f>
        <v>#REF!</v>
      </c>
    </row>
    <row r="29" spans="1:10" ht="15.75" customHeight="1">
      <c r="A29" s="101" t="e">
        <f>CONCATENATE(#REF!,#REF!,#REF!,#REF!,#REF!,#REF!,#REF!)</f>
        <v>#REF!</v>
      </c>
    </row>
  </sheetData>
  <mergeCells count="3">
    <mergeCell ref="A2:J2"/>
    <mergeCell ref="A3:J3"/>
    <mergeCell ref="A27:B27"/>
  </mergeCells>
  <phoneticPr fontId="6" type="noConversion"/>
  <hyperlinks>
    <hyperlink ref="A1" location="索引目录!D26" display="一年到期非流动资产"/>
    <hyperlink ref="B1" location="流动汇总!B15" display="一年内到期的非流动资产"/>
  </hyperlinks>
  <printOptions horizontalCentered="1"/>
  <pageMargins left="0.35433070866141736" right="0.35433070866141736" top="0.78740157480314965" bottom="0.78740157480314965" header="1.06" footer="0.51181102362204722"/>
  <pageSetup paperSize="9" scale="84" fitToHeight="0" orientation="landscape" horizontalDpi="4294967292" r:id="rId1"/>
  <headerFooter alignWithMargins="0">
    <oddHeader>&amp;R&amp;"宋体,常规"&amp;10表&amp;"Times New Roman,常规"3-10
&amp;"宋体,常规"共&amp;"Times New Roman,常规"&amp;N&amp;"宋体,常规"页第&amp;"Times New Roman,常规"&amp;P&amp;"宋体,常规"页</oddHeader>
  </headerFooter>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pageSetUpPr fitToPage="1"/>
  </sheetPr>
  <dimension ref="A1:J29"/>
  <sheetViews>
    <sheetView workbookViewId="0">
      <selection activeCell="H10" sqref="H10"/>
    </sheetView>
  </sheetViews>
  <sheetFormatPr defaultRowHeight="15.75" customHeight="1" outlineLevelCol="1"/>
  <cols>
    <col min="1" max="1" width="5.5" style="4" customWidth="1"/>
    <col min="2" max="2" width="24" style="4" customWidth="1"/>
    <col min="3" max="3" width="11.125" style="4" customWidth="1"/>
    <col min="4" max="4" width="17.75" style="4" customWidth="1"/>
    <col min="5" max="6" width="14.625" style="4" customWidth="1" outlineLevel="1"/>
    <col min="7" max="7" width="17.375" style="4" customWidth="1"/>
    <col min="8" max="8" width="17.5" style="4" customWidth="1"/>
    <col min="9" max="9" width="11.125" style="4" customWidth="1"/>
    <col min="10" max="10" width="15.5" style="4" customWidth="1"/>
    <col min="11" max="16384" width="9" style="4"/>
  </cols>
  <sheetData>
    <row r="1" spans="1:10" ht="11.25" customHeight="1">
      <c r="A1" s="272" t="s">
        <v>130</v>
      </c>
      <c r="B1" s="196" t="s">
        <v>131</v>
      </c>
      <c r="C1" s="196"/>
      <c r="D1" s="196"/>
      <c r="E1" s="1"/>
      <c r="F1" s="1"/>
      <c r="G1" s="1"/>
      <c r="H1" s="1"/>
      <c r="I1" s="1"/>
      <c r="J1" s="1"/>
    </row>
    <row r="2" spans="1:10" s="114" customFormat="1" ht="30" customHeight="1">
      <c r="A2" s="790" t="s">
        <v>892</v>
      </c>
      <c r="B2" s="791"/>
      <c r="C2" s="791"/>
      <c r="D2" s="791"/>
      <c r="E2" s="791"/>
      <c r="F2" s="791"/>
      <c r="G2" s="791"/>
      <c r="H2" s="791"/>
      <c r="I2" s="791"/>
      <c r="J2" s="791"/>
    </row>
    <row r="3" spans="1:10" ht="14.1" customHeight="1">
      <c r="A3" s="792" t="e">
        <f>CONCATENATE(#REF!,#REF!,#REF!,#REF!,#REF!,#REF!,#REF!)</f>
        <v>#REF!</v>
      </c>
      <c r="B3" s="792"/>
      <c r="C3" s="792"/>
      <c r="D3" s="792"/>
      <c r="E3" s="792"/>
      <c r="F3" s="792"/>
      <c r="G3" s="792"/>
      <c r="H3" s="792"/>
      <c r="I3" s="792"/>
      <c r="J3" s="792"/>
    </row>
    <row r="4" spans="1:10" ht="15.75" customHeight="1">
      <c r="A4" s="115" t="e">
        <f>#REF!&amp;#REF!</f>
        <v>#REF!</v>
      </c>
      <c r="J4" s="106" t="s">
        <v>3</v>
      </c>
    </row>
    <row r="5" spans="1:10" s="1" customFormat="1" ht="15.75" customHeight="1">
      <c r="A5" s="2" t="s">
        <v>4</v>
      </c>
      <c r="B5" s="2" t="s">
        <v>293</v>
      </c>
      <c r="C5" s="2" t="s">
        <v>53</v>
      </c>
      <c r="D5" s="2" t="s">
        <v>616</v>
      </c>
      <c r="E5" s="2" t="s">
        <v>426</v>
      </c>
      <c r="F5" s="2" t="s">
        <v>710</v>
      </c>
      <c r="G5" s="2" t="s">
        <v>315</v>
      </c>
      <c r="H5" s="2" t="s">
        <v>0</v>
      </c>
      <c r="I5" s="2" t="s">
        <v>20</v>
      </c>
      <c r="J5" s="2" t="s">
        <v>72</v>
      </c>
    </row>
    <row r="6" spans="1:10" ht="15.75" customHeight="1">
      <c r="A6" s="105"/>
      <c r="B6" s="128"/>
      <c r="C6" s="128"/>
      <c r="D6" s="128"/>
      <c r="E6" s="142"/>
      <c r="F6" s="142"/>
      <c r="G6" s="142"/>
      <c r="H6" s="142"/>
      <c r="I6" s="142" t="str">
        <f t="shared" ref="I6:I27" si="0">IF(G6=0,"",(H6-G6)/G6*100)</f>
        <v/>
      </c>
      <c r="J6" s="120"/>
    </row>
    <row r="7" spans="1:10" ht="15.75" customHeight="1">
      <c r="A7" s="105"/>
      <c r="B7" s="128"/>
      <c r="C7" s="102"/>
      <c r="D7" s="102"/>
      <c r="E7" s="142"/>
      <c r="F7" s="142"/>
      <c r="G7" s="142"/>
      <c r="H7" s="142"/>
      <c r="I7" s="142" t="str">
        <f t="shared" si="0"/>
        <v/>
      </c>
      <c r="J7" s="120"/>
    </row>
    <row r="8" spans="1:10" ht="15.75" customHeight="1">
      <c r="A8" s="105"/>
      <c r="B8" s="128"/>
      <c r="C8" s="128"/>
      <c r="D8" s="128"/>
      <c r="E8" s="142"/>
      <c r="F8" s="142"/>
      <c r="G8" s="142"/>
      <c r="H8" s="142"/>
      <c r="I8" s="142" t="str">
        <f t="shared" si="0"/>
        <v/>
      </c>
      <c r="J8" s="120"/>
    </row>
    <row r="9" spans="1:10" ht="15.75" customHeight="1">
      <c r="A9" s="105"/>
      <c r="B9" s="128"/>
      <c r="C9" s="128"/>
      <c r="D9" s="128"/>
      <c r="E9" s="142"/>
      <c r="F9" s="142"/>
      <c r="G9" s="142"/>
      <c r="H9" s="142"/>
      <c r="I9" s="142" t="str">
        <f t="shared" si="0"/>
        <v/>
      </c>
      <c r="J9" s="120"/>
    </row>
    <row r="10" spans="1:10" ht="15.75" customHeight="1">
      <c r="A10" s="105"/>
      <c r="B10" s="128"/>
      <c r="C10" s="128"/>
      <c r="D10" s="128"/>
      <c r="E10" s="142"/>
      <c r="F10" s="142"/>
      <c r="G10" s="142"/>
      <c r="H10" s="142"/>
      <c r="I10" s="142" t="str">
        <f t="shared" si="0"/>
        <v/>
      </c>
      <c r="J10" s="120"/>
    </row>
    <row r="11" spans="1:10" ht="15.75" customHeight="1">
      <c r="A11" s="105"/>
      <c r="B11" s="128"/>
      <c r="C11" s="128"/>
      <c r="D11" s="128"/>
      <c r="E11" s="142"/>
      <c r="F11" s="142"/>
      <c r="G11" s="142"/>
      <c r="H11" s="142"/>
      <c r="I11" s="142" t="str">
        <f t="shared" si="0"/>
        <v/>
      </c>
      <c r="J11" s="120"/>
    </row>
    <row r="12" spans="1:10" ht="15.75" customHeight="1">
      <c r="A12" s="105"/>
      <c r="B12" s="128"/>
      <c r="C12" s="128"/>
      <c r="D12" s="128"/>
      <c r="E12" s="142"/>
      <c r="F12" s="142"/>
      <c r="G12" s="142"/>
      <c r="H12" s="142"/>
      <c r="I12" s="142" t="str">
        <f t="shared" si="0"/>
        <v/>
      </c>
      <c r="J12" s="120"/>
    </row>
    <row r="13" spans="1:10" ht="15.75" customHeight="1">
      <c r="A13" s="105"/>
      <c r="B13" s="128"/>
      <c r="C13" s="128"/>
      <c r="D13" s="128"/>
      <c r="E13" s="142"/>
      <c r="F13" s="142"/>
      <c r="G13" s="142"/>
      <c r="H13" s="142"/>
      <c r="I13" s="142" t="str">
        <f t="shared" si="0"/>
        <v/>
      </c>
      <c r="J13" s="120"/>
    </row>
    <row r="14" spans="1:10" ht="15.75" customHeight="1">
      <c r="A14" s="105"/>
      <c r="B14" s="128"/>
      <c r="C14" s="128"/>
      <c r="D14" s="128"/>
      <c r="E14" s="142"/>
      <c r="F14" s="142"/>
      <c r="G14" s="142"/>
      <c r="H14" s="142"/>
      <c r="I14" s="142" t="str">
        <f t="shared" si="0"/>
        <v/>
      </c>
      <c r="J14" s="120"/>
    </row>
    <row r="15" spans="1:10" ht="15.75" customHeight="1">
      <c r="A15" s="105"/>
      <c r="B15" s="128"/>
      <c r="C15" s="128"/>
      <c r="D15" s="128"/>
      <c r="E15" s="142"/>
      <c r="F15" s="142"/>
      <c r="G15" s="142"/>
      <c r="H15" s="142"/>
      <c r="I15" s="142" t="str">
        <f t="shared" si="0"/>
        <v/>
      </c>
      <c r="J15" s="120"/>
    </row>
    <row r="16" spans="1:10" ht="15.75" customHeight="1">
      <c r="A16" s="105"/>
      <c r="B16" s="128"/>
      <c r="C16" s="128"/>
      <c r="D16" s="128"/>
      <c r="E16" s="142"/>
      <c r="F16" s="142"/>
      <c r="G16" s="142"/>
      <c r="H16" s="142"/>
      <c r="I16" s="142" t="str">
        <f t="shared" si="0"/>
        <v/>
      </c>
      <c r="J16" s="120"/>
    </row>
    <row r="17" spans="1:10" ht="15.75" customHeight="1">
      <c r="A17" s="105"/>
      <c r="B17" s="128"/>
      <c r="C17" s="128"/>
      <c r="D17" s="128"/>
      <c r="E17" s="142"/>
      <c r="F17" s="142"/>
      <c r="G17" s="142"/>
      <c r="H17" s="142"/>
      <c r="I17" s="142" t="str">
        <f t="shared" si="0"/>
        <v/>
      </c>
      <c r="J17" s="120"/>
    </row>
    <row r="18" spans="1:10" ht="15.75" customHeight="1">
      <c r="A18" s="105"/>
      <c r="B18" s="128"/>
      <c r="C18" s="128"/>
      <c r="D18" s="128"/>
      <c r="E18" s="142"/>
      <c r="F18" s="142"/>
      <c r="G18" s="142"/>
      <c r="H18" s="142"/>
      <c r="I18" s="142" t="str">
        <f t="shared" si="0"/>
        <v/>
      </c>
      <c r="J18" s="120"/>
    </row>
    <row r="19" spans="1:10" ht="15.75" customHeight="1">
      <c r="A19" s="105"/>
      <c r="B19" s="128"/>
      <c r="C19" s="128"/>
      <c r="D19" s="128"/>
      <c r="E19" s="142"/>
      <c r="F19" s="142"/>
      <c r="G19" s="142"/>
      <c r="H19" s="142"/>
      <c r="I19" s="142" t="str">
        <f t="shared" si="0"/>
        <v/>
      </c>
      <c r="J19" s="120"/>
    </row>
    <row r="20" spans="1:10" ht="15.75" customHeight="1">
      <c r="A20" s="105"/>
      <c r="B20" s="128"/>
      <c r="C20" s="128"/>
      <c r="D20" s="128"/>
      <c r="E20" s="142"/>
      <c r="F20" s="142"/>
      <c r="G20" s="142"/>
      <c r="H20" s="142"/>
      <c r="I20" s="142" t="str">
        <f t="shared" si="0"/>
        <v/>
      </c>
      <c r="J20" s="120"/>
    </row>
    <row r="21" spans="1:10" ht="15.75" customHeight="1">
      <c r="A21" s="105"/>
      <c r="B21" s="128"/>
      <c r="C21" s="128"/>
      <c r="D21" s="128"/>
      <c r="E21" s="142"/>
      <c r="F21" s="142"/>
      <c r="G21" s="142"/>
      <c r="H21" s="142"/>
      <c r="I21" s="142" t="str">
        <f t="shared" si="0"/>
        <v/>
      </c>
      <c r="J21" s="120"/>
    </row>
    <row r="22" spans="1:10" ht="15.75" customHeight="1">
      <c r="A22" s="105"/>
      <c r="B22" s="128"/>
      <c r="C22" s="128"/>
      <c r="D22" s="128"/>
      <c r="E22" s="142"/>
      <c r="F22" s="142"/>
      <c r="G22" s="142"/>
      <c r="H22" s="142"/>
      <c r="I22" s="142" t="str">
        <f t="shared" si="0"/>
        <v/>
      </c>
      <c r="J22" s="120"/>
    </row>
    <row r="23" spans="1:10" ht="15.75" customHeight="1">
      <c r="A23" s="105"/>
      <c r="B23" s="128"/>
      <c r="C23" s="128"/>
      <c r="D23" s="128"/>
      <c r="E23" s="142"/>
      <c r="F23" s="142"/>
      <c r="G23" s="142"/>
      <c r="H23" s="142"/>
      <c r="I23" s="142" t="str">
        <f t="shared" si="0"/>
        <v/>
      </c>
      <c r="J23" s="120"/>
    </row>
    <row r="24" spans="1:10" ht="15.75" customHeight="1">
      <c r="A24" s="105"/>
      <c r="B24" s="128"/>
      <c r="C24" s="128"/>
      <c r="D24" s="128"/>
      <c r="E24" s="142"/>
      <c r="F24" s="142"/>
      <c r="G24" s="142"/>
      <c r="H24" s="142"/>
      <c r="I24" s="142" t="str">
        <f t="shared" si="0"/>
        <v/>
      </c>
      <c r="J24" s="120"/>
    </row>
    <row r="25" spans="1:10" ht="15.75" customHeight="1">
      <c r="A25" s="105"/>
      <c r="B25" s="128"/>
      <c r="C25" s="128"/>
      <c r="D25" s="128"/>
      <c r="E25" s="142"/>
      <c r="F25" s="142"/>
      <c r="G25" s="142"/>
      <c r="H25" s="142"/>
      <c r="I25" s="142" t="str">
        <f t="shared" si="0"/>
        <v/>
      </c>
      <c r="J25" s="120"/>
    </row>
    <row r="26" spans="1:10" ht="15.75" customHeight="1">
      <c r="A26" s="105"/>
      <c r="B26" s="128"/>
      <c r="C26" s="128"/>
      <c r="D26" s="128"/>
      <c r="E26" s="142"/>
      <c r="F26" s="142"/>
      <c r="G26" s="142"/>
      <c r="H26" s="142"/>
      <c r="I26" s="142"/>
      <c r="J26" s="120"/>
    </row>
    <row r="27" spans="1:10" ht="15.75" customHeight="1">
      <c r="A27" s="809" t="s">
        <v>54</v>
      </c>
      <c r="B27" s="810"/>
      <c r="C27" s="102"/>
      <c r="D27" s="102"/>
      <c r="E27" s="142">
        <f>SUM(E6:E26)</f>
        <v>0</v>
      </c>
      <c r="F27" s="142"/>
      <c r="G27" s="142">
        <f>SUM(G6:G26)</f>
        <v>0</v>
      </c>
      <c r="H27" s="142">
        <f>SUM(H6:H26)</f>
        <v>0</v>
      </c>
      <c r="I27" s="142" t="str">
        <f t="shared" si="0"/>
        <v/>
      </c>
      <c r="J27" s="120"/>
    </row>
    <row r="28" spans="1:10" ht="15.75" customHeight="1">
      <c r="A28" s="101" t="e">
        <f>#REF!&amp;#REF!</f>
        <v>#REF!</v>
      </c>
      <c r="G28" s="115" t="e">
        <f>"评估人员："&amp;#REF!</f>
        <v>#REF!</v>
      </c>
    </row>
    <row r="29" spans="1:10" ht="15.75" customHeight="1">
      <c r="A29" s="101" t="e">
        <f>CONCATENATE(#REF!,#REF!,#REF!,#REF!,#REF!,#REF!,#REF!)</f>
        <v>#REF!</v>
      </c>
    </row>
  </sheetData>
  <mergeCells count="3">
    <mergeCell ref="A2:J2"/>
    <mergeCell ref="A3:J3"/>
    <mergeCell ref="A27:B27"/>
  </mergeCells>
  <phoneticPr fontId="6" type="noConversion"/>
  <hyperlinks>
    <hyperlink ref="A1" location="索引目录!D27" display="其他流动资产"/>
    <hyperlink ref="B1" location="流动汇总!B16" display="其他流动资产"/>
  </hyperlinks>
  <printOptions horizontalCentered="1"/>
  <pageMargins left="0.35433070866141736" right="0.35433070866141736" top="0.78740157480314965" bottom="0.78740157480314965" header="1.05" footer="0.51181102362204722"/>
  <pageSetup paperSize="9" scale="88" fitToHeight="0" orientation="landscape" horizontalDpi="4294967292" r:id="rId1"/>
  <headerFooter alignWithMargins="0">
    <oddHeader>&amp;R&amp;"宋体,常规"&amp;10表&amp;"Times New Roman,常规"3-11
&amp;"宋体,常规"共&amp;"Times New Roman,常规"&amp;N&amp;"宋体,常规"页第&amp;"Times New Roman,常规"&amp;P&amp;"宋体,常规"页</oddHeader>
  </headerFooter>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tabColor indexed="10"/>
    <pageSetUpPr fitToPage="1"/>
  </sheetPr>
  <dimension ref="A1:G29"/>
  <sheetViews>
    <sheetView zoomScale="85" workbookViewId="0">
      <selection activeCell="H10" sqref="H10"/>
    </sheetView>
  </sheetViews>
  <sheetFormatPr defaultRowHeight="15.75" customHeight="1" outlineLevelCol="1"/>
  <cols>
    <col min="1" max="1" width="8.25" style="4" customWidth="1"/>
    <col min="2" max="2" width="28" style="4" customWidth="1"/>
    <col min="3" max="3" width="19.125" style="4" customWidth="1" outlineLevel="1"/>
    <col min="4" max="4" width="28.5" style="4" customWidth="1"/>
    <col min="5" max="5" width="25.125" style="4" customWidth="1"/>
    <col min="6" max="6" width="21.5" style="4" customWidth="1"/>
    <col min="7" max="7" width="11" style="4" customWidth="1"/>
    <col min="8" max="16384" width="9" style="4"/>
  </cols>
  <sheetData>
    <row r="1" spans="1:7" ht="14.25">
      <c r="A1" s="272" t="s">
        <v>206</v>
      </c>
      <c r="B1" s="195" t="s">
        <v>132</v>
      </c>
      <c r="C1" s="1"/>
      <c r="D1" s="1"/>
      <c r="E1" s="1"/>
      <c r="F1" s="1"/>
      <c r="G1" s="1"/>
    </row>
    <row r="2" spans="1:7" s="114" customFormat="1" ht="30" customHeight="1">
      <c r="A2" s="790" t="s">
        <v>715</v>
      </c>
      <c r="B2" s="791"/>
      <c r="C2" s="791"/>
      <c r="D2" s="791"/>
      <c r="E2" s="791"/>
      <c r="F2" s="791"/>
      <c r="G2" s="791"/>
    </row>
    <row r="3" spans="1:7" ht="14.1" customHeight="1">
      <c r="A3" s="792" t="e">
        <f>CONCATENATE(#REF!,#REF!,#REF!,#REF!,#REF!,#REF!,#REF!)</f>
        <v>#REF!</v>
      </c>
      <c r="B3" s="792"/>
      <c r="C3" s="792"/>
      <c r="D3" s="792"/>
      <c r="E3" s="792"/>
      <c r="F3" s="792"/>
      <c r="G3" s="792"/>
    </row>
    <row r="4" spans="1:7" ht="15.75" customHeight="1">
      <c r="A4" s="115" t="e">
        <f>#REF!&amp;#REF!</f>
        <v>#REF!</v>
      </c>
      <c r="G4" s="156" t="s">
        <v>3</v>
      </c>
    </row>
    <row r="5" spans="1:7" s="284" customFormat="1" ht="15.75" customHeight="1">
      <c r="A5" s="323" t="s">
        <v>235</v>
      </c>
      <c r="B5" s="323" t="s">
        <v>2</v>
      </c>
      <c r="C5" s="323" t="s">
        <v>426</v>
      </c>
      <c r="D5" s="323" t="s">
        <v>315</v>
      </c>
      <c r="E5" s="323" t="s">
        <v>0</v>
      </c>
      <c r="F5" s="324" t="s">
        <v>19</v>
      </c>
      <c r="G5" s="323" t="s">
        <v>20</v>
      </c>
    </row>
    <row r="6" spans="1:7" ht="15.75" customHeight="1">
      <c r="A6" s="127" t="s">
        <v>555</v>
      </c>
      <c r="B6" s="120" t="s">
        <v>436</v>
      </c>
      <c r="C6" s="142">
        <f>可供出售金融资产汇总!C27</f>
        <v>0</v>
      </c>
      <c r="D6" s="142">
        <f>可供出售金融资产汇总!E27</f>
        <v>0</v>
      </c>
      <c r="E6" s="142">
        <f>可供出售金融资产汇总!F27</f>
        <v>0</v>
      </c>
      <c r="F6" s="142">
        <f>E6-D6</f>
        <v>0</v>
      </c>
      <c r="G6" s="155" t="str">
        <f>IF(D6=0,"",F6/D6*100)</f>
        <v/>
      </c>
    </row>
    <row r="7" spans="1:7" ht="15.75" customHeight="1">
      <c r="A7" s="127" t="s">
        <v>551</v>
      </c>
      <c r="B7" s="120" t="s">
        <v>437</v>
      </c>
      <c r="C7" s="142">
        <f>持有到期投资!H27</f>
        <v>0</v>
      </c>
      <c r="D7" s="142">
        <f>持有到期投资!J27</f>
        <v>0</v>
      </c>
      <c r="E7" s="142">
        <f>持有到期投资!K27</f>
        <v>0</v>
      </c>
      <c r="F7" s="142">
        <f>E7-D7</f>
        <v>0</v>
      </c>
      <c r="G7" s="155" t="str">
        <f>IF(D7=0,"",F7/D7*100)</f>
        <v/>
      </c>
    </row>
    <row r="8" spans="1:7" ht="15.75" customHeight="1">
      <c r="A8" s="127" t="s">
        <v>552</v>
      </c>
      <c r="B8" s="120" t="s">
        <v>438</v>
      </c>
      <c r="C8" s="142">
        <f>长期应收!E27</f>
        <v>0</v>
      </c>
      <c r="D8" s="142">
        <f>长期应收!G27</f>
        <v>0</v>
      </c>
      <c r="E8" s="142">
        <f>长期应收!H27</f>
        <v>0</v>
      </c>
      <c r="F8" s="142">
        <f>E8-D8</f>
        <v>0</v>
      </c>
      <c r="G8" s="155" t="str">
        <f>IF(D8=0,"",F8/D8*100)</f>
        <v/>
      </c>
    </row>
    <row r="9" spans="1:7" ht="15.75" customHeight="1">
      <c r="A9" s="127" t="s">
        <v>553</v>
      </c>
      <c r="B9" s="120" t="s">
        <v>439</v>
      </c>
      <c r="C9" s="142">
        <f>股权投资!G27</f>
        <v>0</v>
      </c>
      <c r="D9" s="142">
        <f>股权投资!I27</f>
        <v>0</v>
      </c>
      <c r="E9" s="142">
        <f>股权投资!J27</f>
        <v>0</v>
      </c>
      <c r="F9" s="142">
        <f>E9-D9</f>
        <v>0</v>
      </c>
      <c r="G9" s="155" t="str">
        <f>IF(D9=0,"",F9/D9*100)</f>
        <v/>
      </c>
    </row>
    <row r="10" spans="1:7" ht="15.75" customHeight="1">
      <c r="A10" s="127" t="s">
        <v>554</v>
      </c>
      <c r="B10" s="120" t="s">
        <v>440</v>
      </c>
      <c r="C10" s="142">
        <f>'4-5-1投资性房地产'!L27+'4-5-2投资性房地产'!M27+'4-5-3投资性地产'!M27+'4-5-4投资性地产'!M27</f>
        <v>0</v>
      </c>
      <c r="D10" s="142">
        <f>'4-5-1投资性房地产'!P27+'4-5-2投资性房地产'!O27+'4-5-3投资性地产'!O27+'4-5-4投资性地产'!O27</f>
        <v>0</v>
      </c>
      <c r="E10" s="142">
        <f>'4-5-1投资性房地产'!S27+'4-5-2投资性房地产'!P27+'4-5-3投资性地产'!P27+'4-5-4投资性地产'!P27</f>
        <v>0</v>
      </c>
      <c r="F10" s="142">
        <f>E10-D10</f>
        <v>0</v>
      </c>
      <c r="G10" s="155" t="str">
        <f>IF(D10=0,"",F10/D10*100)</f>
        <v/>
      </c>
    </row>
    <row r="11" spans="1:7" ht="15.75" customHeight="1">
      <c r="A11" s="127" t="s">
        <v>716</v>
      </c>
      <c r="B11" s="120" t="s">
        <v>225</v>
      </c>
      <c r="C11" s="143" t="e">
        <f>#REF!</f>
        <v>#REF!</v>
      </c>
      <c r="D11" s="143" t="e">
        <f>#REF!</f>
        <v>#REF!</v>
      </c>
      <c r="E11" s="143" t="e">
        <f>#REF!</f>
        <v>#REF!</v>
      </c>
      <c r="F11" s="143" t="e">
        <f t="shared" ref="F11:F22" si="0">E11-D11</f>
        <v>#REF!</v>
      </c>
      <c r="G11" s="155" t="e">
        <f t="shared" ref="G11:G22" si="1">IF(D11=0,"",F11/D11*100)</f>
        <v>#REF!</v>
      </c>
    </row>
    <row r="12" spans="1:7" ht="15.75" customHeight="1">
      <c r="A12" s="127" t="s">
        <v>717</v>
      </c>
      <c r="B12" s="120" t="s">
        <v>476</v>
      </c>
      <c r="C12" s="143">
        <f>在建工程汇总!C27</f>
        <v>0</v>
      </c>
      <c r="D12" s="143">
        <f>在建工程汇总!D27</f>
        <v>0</v>
      </c>
      <c r="E12" s="143">
        <f>在建工程汇总!E27</f>
        <v>0</v>
      </c>
      <c r="F12" s="143">
        <f t="shared" si="0"/>
        <v>0</v>
      </c>
      <c r="G12" s="155" t="str">
        <f t="shared" si="1"/>
        <v/>
      </c>
    </row>
    <row r="13" spans="1:7" ht="15.75" customHeight="1">
      <c r="A13" s="127" t="s">
        <v>718</v>
      </c>
      <c r="B13" s="120" t="s">
        <v>11</v>
      </c>
      <c r="C13" s="143">
        <f>工程物资!G27</f>
        <v>0</v>
      </c>
      <c r="D13" s="143">
        <f>工程物资!K27</f>
        <v>0</v>
      </c>
      <c r="E13" s="143">
        <f>工程物资!N27</f>
        <v>0</v>
      </c>
      <c r="F13" s="143">
        <f t="shared" si="0"/>
        <v>0</v>
      </c>
      <c r="G13" s="155" t="str">
        <f t="shared" si="1"/>
        <v/>
      </c>
    </row>
    <row r="14" spans="1:7" ht="15.75" customHeight="1">
      <c r="A14" s="127" t="s">
        <v>719</v>
      </c>
      <c r="B14" s="120" t="s">
        <v>12</v>
      </c>
      <c r="C14" s="143">
        <f>固定资产清理!D27</f>
        <v>0</v>
      </c>
      <c r="D14" s="143">
        <f>固定资产清理!F27</f>
        <v>0</v>
      </c>
      <c r="E14" s="143">
        <f>固定资产清理!G27</f>
        <v>0</v>
      </c>
      <c r="F14" s="143">
        <f t="shared" si="0"/>
        <v>0</v>
      </c>
      <c r="G14" s="155" t="str">
        <f t="shared" si="1"/>
        <v/>
      </c>
    </row>
    <row r="15" spans="1:7" ht="15.75" customHeight="1">
      <c r="A15" s="127" t="s">
        <v>720</v>
      </c>
      <c r="B15" s="120" t="s">
        <v>570</v>
      </c>
      <c r="C15" s="143">
        <f>生产性生物资产!I27</f>
        <v>0</v>
      </c>
      <c r="D15" s="143">
        <f>生产性生物资产!M27</f>
        <v>0</v>
      </c>
      <c r="E15" s="143">
        <f>生产性生物资产!P27</f>
        <v>0</v>
      </c>
      <c r="F15" s="143">
        <f>E15-D15</f>
        <v>0</v>
      </c>
      <c r="G15" s="155" t="str">
        <f t="shared" si="1"/>
        <v/>
      </c>
    </row>
    <row r="16" spans="1:7" ht="15.75" customHeight="1">
      <c r="A16" s="127" t="s">
        <v>721</v>
      </c>
      <c r="B16" s="120" t="s">
        <v>571</v>
      </c>
      <c r="C16" s="143">
        <f>油气资产!J27</f>
        <v>0</v>
      </c>
      <c r="D16" s="143">
        <f>油气资产!N27</f>
        <v>0</v>
      </c>
      <c r="E16" s="143">
        <f>油气资产!Q27</f>
        <v>0</v>
      </c>
      <c r="F16" s="143">
        <f t="shared" si="0"/>
        <v>0</v>
      </c>
      <c r="G16" s="155" t="str">
        <f t="shared" si="1"/>
        <v/>
      </c>
    </row>
    <row r="17" spans="1:7" ht="15.75" customHeight="1">
      <c r="A17" s="127" t="s">
        <v>722</v>
      </c>
      <c r="B17" s="120" t="s">
        <v>191</v>
      </c>
      <c r="C17" s="143">
        <f>无形资产汇总!C26</f>
        <v>0</v>
      </c>
      <c r="D17" s="143">
        <f>无形资产汇总!D26</f>
        <v>0</v>
      </c>
      <c r="E17" s="143">
        <f>无形资产汇总!E26</f>
        <v>0</v>
      </c>
      <c r="F17" s="143">
        <f t="shared" si="0"/>
        <v>0</v>
      </c>
      <c r="G17" s="155" t="str">
        <f t="shared" si="1"/>
        <v/>
      </c>
    </row>
    <row r="18" spans="1:7" ht="15.75" customHeight="1">
      <c r="A18" s="127" t="s">
        <v>723</v>
      </c>
      <c r="B18" s="120" t="s">
        <v>594</v>
      </c>
      <c r="C18" s="143">
        <f>开发支出!D27</f>
        <v>0</v>
      </c>
      <c r="D18" s="143">
        <f>开发支出!F27</f>
        <v>0</v>
      </c>
      <c r="E18" s="143">
        <f>开发支出!G27</f>
        <v>0</v>
      </c>
      <c r="F18" s="143">
        <f t="shared" si="0"/>
        <v>0</v>
      </c>
      <c r="G18" s="155" t="str">
        <f t="shared" si="1"/>
        <v/>
      </c>
    </row>
    <row r="19" spans="1:7" ht="15.75" customHeight="1">
      <c r="A19" s="127" t="s">
        <v>724</v>
      </c>
      <c r="B19" s="120" t="s">
        <v>598</v>
      </c>
      <c r="C19" s="142">
        <f>商誉!D27</f>
        <v>0</v>
      </c>
      <c r="D19" s="142">
        <f>商誉!F27</f>
        <v>0</v>
      </c>
      <c r="E19" s="142">
        <f>商誉!G27</f>
        <v>0</v>
      </c>
      <c r="F19" s="142">
        <f t="shared" si="0"/>
        <v>0</v>
      </c>
      <c r="G19" s="155" t="str">
        <f t="shared" si="1"/>
        <v/>
      </c>
    </row>
    <row r="20" spans="1:7" ht="15.75" customHeight="1">
      <c r="A20" s="127" t="s">
        <v>725</v>
      </c>
      <c r="B20" s="120" t="s">
        <v>806</v>
      </c>
      <c r="C20" s="142">
        <f>长期待摊费用!F27</f>
        <v>0</v>
      </c>
      <c r="D20" s="142">
        <f>长期待摊费用!H27</f>
        <v>0</v>
      </c>
      <c r="E20" s="142">
        <f>长期待摊费用!J27</f>
        <v>0</v>
      </c>
      <c r="F20" s="142">
        <f t="shared" si="0"/>
        <v>0</v>
      </c>
      <c r="G20" s="155" t="str">
        <f t="shared" si="1"/>
        <v/>
      </c>
    </row>
    <row r="21" spans="1:7" ht="15.75" customHeight="1">
      <c r="A21" s="127" t="s">
        <v>726</v>
      </c>
      <c r="B21" s="120" t="s">
        <v>807</v>
      </c>
      <c r="C21" s="142">
        <f>递延所得税资产!D27</f>
        <v>0</v>
      </c>
      <c r="D21" s="142">
        <f>递延所得税资产!F27</f>
        <v>0</v>
      </c>
      <c r="E21" s="142">
        <f>递延所得税资产!G27</f>
        <v>0</v>
      </c>
      <c r="F21" s="142">
        <f t="shared" si="0"/>
        <v>0</v>
      </c>
      <c r="G21" s="155" t="str">
        <f t="shared" si="1"/>
        <v/>
      </c>
    </row>
    <row r="22" spans="1:7" ht="15.75" customHeight="1">
      <c r="A22" s="127" t="s">
        <v>727</v>
      </c>
      <c r="B22" s="120" t="s">
        <v>689</v>
      </c>
      <c r="C22" s="142">
        <f>其他非流动资产!D27</f>
        <v>0</v>
      </c>
      <c r="D22" s="142">
        <f>其他非流动资产!F27</f>
        <v>0</v>
      </c>
      <c r="E22" s="142">
        <f>其他非流动资产!G27</f>
        <v>0</v>
      </c>
      <c r="F22" s="142">
        <f t="shared" si="0"/>
        <v>0</v>
      </c>
      <c r="G22" s="155" t="str">
        <f t="shared" si="1"/>
        <v/>
      </c>
    </row>
    <row r="23" spans="1:7" ht="15.75" customHeight="1">
      <c r="A23" s="105"/>
      <c r="B23" s="120"/>
      <c r="C23" s="142"/>
      <c r="D23" s="142"/>
      <c r="E23" s="142"/>
      <c r="F23" s="142"/>
      <c r="G23" s="155"/>
    </row>
    <row r="24" spans="1:7" ht="15.75" customHeight="1">
      <c r="A24" s="105"/>
      <c r="B24" s="120"/>
      <c r="C24" s="142"/>
      <c r="D24" s="142"/>
      <c r="E24" s="142"/>
      <c r="F24" s="142"/>
      <c r="G24" s="155"/>
    </row>
    <row r="25" spans="1:7" ht="15.75" customHeight="1">
      <c r="A25" s="127"/>
      <c r="B25" s="203"/>
      <c r="C25" s="142"/>
      <c r="D25" s="142"/>
      <c r="E25" s="142"/>
      <c r="F25" s="142"/>
      <c r="G25" s="155"/>
    </row>
    <row r="26" spans="1:7" ht="15.75" customHeight="1">
      <c r="A26" s="127"/>
      <c r="B26" s="127"/>
      <c r="C26" s="142"/>
      <c r="D26" s="142"/>
      <c r="E26" s="142"/>
      <c r="F26" s="142"/>
      <c r="G26" s="155"/>
    </row>
    <row r="27" spans="1:7" ht="15.75" customHeight="1">
      <c r="A27" s="127" t="s">
        <v>370</v>
      </c>
      <c r="B27" s="105" t="s">
        <v>176</v>
      </c>
      <c r="C27" s="142" t="e">
        <f>SUM(C6:C26)</f>
        <v>#REF!</v>
      </c>
      <c r="D27" s="142" t="e">
        <f>SUM(D6:D26)</f>
        <v>#REF!</v>
      </c>
      <c r="E27" s="142" t="e">
        <f>SUM(E6:E26)</f>
        <v>#REF!</v>
      </c>
      <c r="F27" s="142" t="e">
        <f>SUM(F6:F26)</f>
        <v>#REF!</v>
      </c>
      <c r="G27" s="155" t="e">
        <f>IF(D27=0,"",F27/D27*100)</f>
        <v>#REF!</v>
      </c>
    </row>
    <row r="28" spans="1:7" ht="15.75" customHeight="1">
      <c r="A28" s="101" t="e">
        <f>#REF!&amp;#REF!</f>
        <v>#REF!</v>
      </c>
      <c r="E28" s="115" t="e">
        <f>"评估人员："&amp;#REF!</f>
        <v>#REF!</v>
      </c>
    </row>
    <row r="29" spans="1:7" ht="15.75" customHeight="1">
      <c r="A29" s="101" t="e">
        <f>CONCATENATE(#REF!,#REF!,#REF!,#REF!,#REF!,#REF!,#REF!)</f>
        <v>#REF!</v>
      </c>
    </row>
  </sheetData>
  <mergeCells count="2">
    <mergeCell ref="A2:G2"/>
    <mergeCell ref="A3:G3"/>
  </mergeCells>
  <phoneticPr fontId="6" type="noConversion"/>
  <hyperlinks>
    <hyperlink ref="A1" location="索引目录!C28" display="长期投资"/>
    <hyperlink ref="B6" location="可供出售金融资产汇总!B1" display="返回"/>
    <hyperlink ref="B7" location="持有到期投资!B1" display="返回"/>
    <hyperlink ref="B8" location="长期应收!B1" display="返回 "/>
    <hyperlink ref="B1" location="分类汇总!B20" display="可供出售金融资产"/>
    <hyperlink ref="B9" location="股权投资!B1" display="返回"/>
    <hyperlink ref="B10" location="投资性房地产!B1" display="返回"/>
    <hyperlink ref="B22" location="其他非流动资产!Print_Titles" display="其他非流动资产"/>
    <hyperlink ref="B21" location="递延所得税资产!Print_Area" display="递延所得税资产"/>
    <hyperlink ref="B20" location="长期待摊费用!Print_Area" display="长期待摊费用"/>
    <hyperlink ref="B19" location="商誉!Print_Area" display="商誉"/>
    <hyperlink ref="B18" location="开发支出!Print_Titles" display="开发支出"/>
    <hyperlink ref="B17" location="无形资产汇总!Print_Area" display="无形资产"/>
    <hyperlink ref="B16" location="油气资产!Print_Area" display="油气资产"/>
    <hyperlink ref="B15" location="生产性生物资产!Print_Area" display="生产性生物资产"/>
    <hyperlink ref="B14" location="固定资产清理!Print_Area" display="固定资产清理"/>
    <hyperlink ref="B13" location="工程物资!Print_Titles" display="工程物资"/>
    <hyperlink ref="B12" location="在建工程汇总!Print_Area" display="在建工程"/>
    <hyperlink ref="B11" location="固定资产汇总!A1" display="固定资产"/>
  </hyperlinks>
  <printOptions horizontalCentered="1"/>
  <pageMargins left="0.35433070866141736" right="0.35433070866141736" top="0.78740157480314965" bottom="0.78740157480314965" header="1.06" footer="0.51181102362204722"/>
  <pageSetup paperSize="9" scale="93" fitToHeight="0" orientation="landscape" horizontalDpi="4294967292" r:id="rId1"/>
  <headerFooter alignWithMargins="0">
    <oddHeader>&amp;R&amp;"宋体,常规"&amp;10表&amp;"Times New Roman,常规"4
&amp;"宋体,常规"共&amp;"Times New Roman,常规"&amp;N&amp;"宋体,常规"页第&amp;"Times New Roman,常规"&amp;P&amp;"宋体,常规"页</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H29"/>
  <sheetViews>
    <sheetView zoomScale="85" workbookViewId="0">
      <selection activeCell="H10" sqref="H10"/>
    </sheetView>
  </sheetViews>
  <sheetFormatPr defaultRowHeight="15.75" customHeight="1" outlineLevelCol="1"/>
  <cols>
    <col min="1" max="1" width="8.375" style="4" customWidth="1"/>
    <col min="2" max="2" width="28" style="4" customWidth="1"/>
    <col min="3" max="4" width="19.125" style="4" customWidth="1" outlineLevel="1"/>
    <col min="5" max="5" width="25.75" style="4" customWidth="1"/>
    <col min="6" max="6" width="26.25" style="4" customWidth="1"/>
    <col min="7" max="7" width="22.875" style="4" customWidth="1"/>
    <col min="8" max="8" width="11" style="4" customWidth="1"/>
    <col min="9" max="16384" width="9" style="4"/>
  </cols>
  <sheetData>
    <row r="1" spans="1:8" ht="14.25">
      <c r="A1" s="272" t="s">
        <v>206</v>
      </c>
      <c r="B1" s="195" t="s">
        <v>132</v>
      </c>
      <c r="C1" s="1"/>
      <c r="D1" s="1"/>
      <c r="E1" s="1"/>
      <c r="F1" s="1"/>
      <c r="G1" s="1"/>
      <c r="H1" s="1"/>
    </row>
    <row r="2" spans="1:8" s="114" customFormat="1" ht="30" customHeight="1">
      <c r="A2" s="790" t="s">
        <v>891</v>
      </c>
      <c r="B2" s="791"/>
      <c r="C2" s="791"/>
      <c r="D2" s="791"/>
      <c r="E2" s="791"/>
      <c r="F2" s="791"/>
      <c r="G2" s="791"/>
      <c r="H2" s="791"/>
    </row>
    <row r="3" spans="1:8" ht="14.1" customHeight="1">
      <c r="A3" s="792" t="e">
        <f>CONCATENATE(#REF!,#REF!,#REF!,#REF!,#REF!,#REF!,#REF!)</f>
        <v>#REF!</v>
      </c>
      <c r="B3" s="792"/>
      <c r="C3" s="792"/>
      <c r="D3" s="792"/>
      <c r="E3" s="792"/>
      <c r="F3" s="792"/>
      <c r="G3" s="792"/>
      <c r="H3" s="792"/>
    </row>
    <row r="4" spans="1:8" ht="15.75" customHeight="1">
      <c r="A4" s="115" t="e">
        <f>#REF!&amp;#REF!</f>
        <v>#REF!</v>
      </c>
      <c r="H4" s="156" t="s">
        <v>363</v>
      </c>
    </row>
    <row r="5" spans="1:8" s="284" customFormat="1" ht="15.75" customHeight="1">
      <c r="A5" s="323" t="s">
        <v>367</v>
      </c>
      <c r="B5" s="323" t="s">
        <v>368</v>
      </c>
      <c r="C5" s="323" t="s">
        <v>426</v>
      </c>
      <c r="D5" s="323" t="s">
        <v>728</v>
      </c>
      <c r="E5" s="323" t="s">
        <v>315</v>
      </c>
      <c r="F5" s="323" t="s">
        <v>364</v>
      </c>
      <c r="G5" s="324" t="s">
        <v>369</v>
      </c>
      <c r="H5" s="323" t="s">
        <v>365</v>
      </c>
    </row>
    <row r="6" spans="1:8" ht="15.75" customHeight="1">
      <c r="A6" s="127" t="s">
        <v>539</v>
      </c>
      <c r="B6" s="120" t="s">
        <v>522</v>
      </c>
      <c r="C6" s="142">
        <f>'可出售-股票'!I27</f>
        <v>0</v>
      </c>
      <c r="D6" s="142"/>
      <c r="E6" s="142">
        <f>'可出售-股票'!K27</f>
        <v>0</v>
      </c>
      <c r="F6" s="142">
        <f>'可出售-股票'!L27</f>
        <v>0</v>
      </c>
      <c r="G6" s="142">
        <f>F6-E6</f>
        <v>0</v>
      </c>
      <c r="H6" s="155" t="str">
        <f>IF(E6=0,"",G6/E6*100)</f>
        <v/>
      </c>
    </row>
    <row r="7" spans="1:8" ht="15.75" customHeight="1">
      <c r="A7" s="127" t="s">
        <v>540</v>
      </c>
      <c r="B7" s="120" t="s">
        <v>523</v>
      </c>
      <c r="C7" s="142">
        <f>'可出售-债券'!H27</f>
        <v>0</v>
      </c>
      <c r="D7" s="142"/>
      <c r="E7" s="142">
        <f>'可出售-债券'!J27</f>
        <v>0</v>
      </c>
      <c r="F7" s="142">
        <f>'可出售-债券'!K27</f>
        <v>0</v>
      </c>
      <c r="G7" s="142">
        <f>F7-E7</f>
        <v>0</v>
      </c>
      <c r="H7" s="155" t="str">
        <f>IF(E7=0,"",G7/E7*100)</f>
        <v/>
      </c>
    </row>
    <row r="8" spans="1:8" ht="15.75" customHeight="1">
      <c r="A8" s="127" t="s">
        <v>541</v>
      </c>
      <c r="B8" s="120" t="s">
        <v>524</v>
      </c>
      <c r="C8" s="142">
        <f>'可出售-其他'!H27</f>
        <v>0</v>
      </c>
      <c r="D8" s="142"/>
      <c r="E8" s="142">
        <f>'可出售-其他'!J27</f>
        <v>0</v>
      </c>
      <c r="F8" s="142">
        <f>'可出售-其他'!K27</f>
        <v>0</v>
      </c>
      <c r="G8" s="142">
        <f>F8-E8</f>
        <v>0</v>
      </c>
      <c r="H8" s="155" t="str">
        <f>IF(E8=0,"",G8/E8*100)</f>
        <v/>
      </c>
    </row>
    <row r="9" spans="1:8" ht="15.75" customHeight="1">
      <c r="A9" s="105"/>
      <c r="B9" s="120"/>
      <c r="C9" s="142"/>
      <c r="D9" s="142"/>
      <c r="E9" s="142"/>
      <c r="F9" s="142"/>
      <c r="G9" s="142"/>
      <c r="H9" s="155"/>
    </row>
    <row r="10" spans="1:8" ht="15.75" customHeight="1">
      <c r="A10" s="105"/>
      <c r="B10" s="120"/>
      <c r="C10" s="142"/>
      <c r="D10" s="142"/>
      <c r="E10" s="142"/>
      <c r="F10" s="142"/>
      <c r="G10" s="142"/>
      <c r="H10" s="155"/>
    </row>
    <row r="11" spans="1:8" ht="15.75" customHeight="1">
      <c r="A11" s="105"/>
      <c r="B11" s="120"/>
      <c r="C11" s="142"/>
      <c r="D11" s="142"/>
      <c r="E11" s="142"/>
      <c r="F11" s="142"/>
      <c r="G11" s="142"/>
      <c r="H11" s="155"/>
    </row>
    <row r="12" spans="1:8" ht="15.75" customHeight="1">
      <c r="A12" s="105"/>
      <c r="B12" s="120"/>
      <c r="C12" s="142"/>
      <c r="D12" s="142"/>
      <c r="E12" s="142"/>
      <c r="F12" s="142"/>
      <c r="G12" s="142"/>
      <c r="H12" s="155"/>
    </row>
    <row r="13" spans="1:8" ht="15.75" customHeight="1">
      <c r="A13" s="105"/>
      <c r="B13" s="120"/>
      <c r="C13" s="142"/>
      <c r="D13" s="142"/>
      <c r="E13" s="142"/>
      <c r="F13" s="142"/>
      <c r="G13" s="142"/>
      <c r="H13" s="155"/>
    </row>
    <row r="14" spans="1:8" ht="15.75" customHeight="1">
      <c r="A14" s="105"/>
      <c r="B14" s="120"/>
      <c r="C14" s="142"/>
      <c r="D14" s="142"/>
      <c r="E14" s="142"/>
      <c r="F14" s="142"/>
      <c r="G14" s="142"/>
      <c r="H14" s="155"/>
    </row>
    <row r="15" spans="1:8" ht="15.75" customHeight="1">
      <c r="A15" s="105"/>
      <c r="B15" s="120"/>
      <c r="C15" s="142"/>
      <c r="D15" s="142"/>
      <c r="E15" s="142"/>
      <c r="F15" s="142"/>
      <c r="G15" s="142"/>
      <c r="H15" s="155"/>
    </row>
    <row r="16" spans="1:8" ht="15.75" customHeight="1">
      <c r="A16" s="105"/>
      <c r="B16" s="120"/>
      <c r="C16" s="142"/>
      <c r="D16" s="142"/>
      <c r="E16" s="142"/>
      <c r="F16" s="142"/>
      <c r="G16" s="142"/>
      <c r="H16" s="155"/>
    </row>
    <row r="17" spans="1:8" ht="15.75" customHeight="1">
      <c r="A17" s="105"/>
      <c r="B17" s="120"/>
      <c r="C17" s="142"/>
      <c r="D17" s="142"/>
      <c r="E17" s="142"/>
      <c r="F17" s="142"/>
      <c r="G17" s="142"/>
      <c r="H17" s="155"/>
    </row>
    <row r="18" spans="1:8" ht="15.75" customHeight="1">
      <c r="A18" s="105"/>
      <c r="B18" s="120"/>
      <c r="C18" s="142"/>
      <c r="D18" s="142"/>
      <c r="E18" s="142"/>
      <c r="F18" s="142"/>
      <c r="G18" s="142"/>
      <c r="H18" s="155"/>
    </row>
    <row r="19" spans="1:8" ht="15.75" customHeight="1">
      <c r="A19" s="105"/>
      <c r="B19" s="120"/>
      <c r="C19" s="142"/>
      <c r="D19" s="142"/>
      <c r="E19" s="142"/>
      <c r="F19" s="142"/>
      <c r="G19" s="142"/>
      <c r="H19" s="155"/>
    </row>
    <row r="20" spans="1:8" ht="15.75" customHeight="1">
      <c r="A20" s="105"/>
      <c r="B20" s="120"/>
      <c r="C20" s="142"/>
      <c r="D20" s="142"/>
      <c r="E20" s="142"/>
      <c r="F20" s="142"/>
      <c r="G20" s="142"/>
      <c r="H20" s="155"/>
    </row>
    <row r="21" spans="1:8" ht="15.75" customHeight="1">
      <c r="A21" s="105"/>
      <c r="B21" s="120"/>
      <c r="C21" s="142"/>
      <c r="D21" s="142"/>
      <c r="E21" s="142"/>
      <c r="F21" s="142"/>
      <c r="G21" s="142"/>
      <c r="H21" s="155"/>
    </row>
    <row r="22" spans="1:8" ht="15.75" customHeight="1">
      <c r="A22" s="105"/>
      <c r="B22" s="120"/>
      <c r="C22" s="142"/>
      <c r="D22" s="142"/>
      <c r="E22" s="142"/>
      <c r="F22" s="142"/>
      <c r="G22" s="142"/>
      <c r="H22" s="155"/>
    </row>
    <row r="23" spans="1:8" ht="15.75" customHeight="1">
      <c r="A23" s="105"/>
      <c r="B23" s="120"/>
      <c r="C23" s="142"/>
      <c r="D23" s="142"/>
      <c r="E23" s="142"/>
      <c r="F23" s="142"/>
      <c r="G23" s="142"/>
      <c r="H23" s="155"/>
    </row>
    <row r="24" spans="1:8" ht="15.75" customHeight="1">
      <c r="A24" s="105"/>
      <c r="B24" s="120"/>
      <c r="C24" s="142"/>
      <c r="D24" s="142"/>
      <c r="E24" s="142"/>
      <c r="F24" s="142"/>
      <c r="G24" s="142"/>
      <c r="H24" s="155"/>
    </row>
    <row r="25" spans="1:8" ht="15.75" customHeight="1">
      <c r="A25" s="127" t="s">
        <v>370</v>
      </c>
      <c r="B25" s="127" t="s">
        <v>525</v>
      </c>
      <c r="C25" s="142">
        <f>SUM(C6:C24)</f>
        <v>0</v>
      </c>
      <c r="D25" s="142"/>
      <c r="E25" s="142">
        <f>SUM(E6:E24)</f>
        <v>0</v>
      </c>
      <c r="F25" s="142">
        <f>SUM(F6:F24)</f>
        <v>0</v>
      </c>
      <c r="G25" s="142">
        <f>SUM(G6:G24)</f>
        <v>0</v>
      </c>
      <c r="H25" s="155" t="str">
        <f>IF(E25=0,"",G25/E25*100)</f>
        <v/>
      </c>
    </row>
    <row r="26" spans="1:8" ht="15.75" customHeight="1">
      <c r="A26" s="127" t="s">
        <v>370</v>
      </c>
      <c r="B26" s="127" t="s">
        <v>526</v>
      </c>
      <c r="C26" s="142"/>
      <c r="D26" s="142"/>
      <c r="E26" s="142">
        <f>C26</f>
        <v>0</v>
      </c>
      <c r="F26" s="142">
        <v>0</v>
      </c>
      <c r="G26" s="142">
        <f>F26-E26</f>
        <v>0</v>
      </c>
      <c r="H26" s="155" t="str">
        <f>IF(E26=0,"",G26/E26*100)</f>
        <v/>
      </c>
    </row>
    <row r="27" spans="1:8" ht="15.75" customHeight="1">
      <c r="A27" s="127" t="s">
        <v>370</v>
      </c>
      <c r="B27" s="127" t="s">
        <v>527</v>
      </c>
      <c r="C27" s="142">
        <f>C25-C26</f>
        <v>0</v>
      </c>
      <c r="D27" s="142"/>
      <c r="E27" s="142">
        <f>E25-E26</f>
        <v>0</v>
      </c>
      <c r="F27" s="142">
        <f>F25-F26</f>
        <v>0</v>
      </c>
      <c r="G27" s="142">
        <f>G25-G26</f>
        <v>0</v>
      </c>
      <c r="H27" s="155" t="str">
        <f>IF(E27=0,"",G27/E27*100)</f>
        <v/>
      </c>
    </row>
    <row r="28" spans="1:8" ht="15.75" customHeight="1">
      <c r="A28" s="101" t="e">
        <f>#REF!&amp;#REF!</f>
        <v>#REF!</v>
      </c>
      <c r="E28" s="115" t="e">
        <f>"评估人员："&amp;#REF!</f>
        <v>#REF!</v>
      </c>
    </row>
    <row r="29" spans="1:8" ht="15.75" customHeight="1">
      <c r="A29" s="101" t="e">
        <f>CONCATENATE(#REF!,#REF!,#REF!,#REF!,#REF!,#REF!,#REF!)</f>
        <v>#REF!</v>
      </c>
    </row>
  </sheetData>
  <mergeCells count="2">
    <mergeCell ref="A2:H2"/>
    <mergeCell ref="A3:H3"/>
  </mergeCells>
  <phoneticPr fontId="6" type="noConversion"/>
  <hyperlinks>
    <hyperlink ref="A1" location="索引目录!D28" display="可供出售金融资产"/>
    <hyperlink ref="B6" location="'可出售-股票'!B1" display="返回"/>
    <hyperlink ref="B7" location="'可出售-债券'!B1" display="返回"/>
    <hyperlink ref="B8" location="'可出售-其他'!B1" display="返回"/>
    <hyperlink ref="B1" location="长期投资汇总!B6" display="可供出售金融资产"/>
  </hyperlinks>
  <printOptions horizontalCentered="1"/>
  <pageMargins left="0.35433070866141736" right="0.35433070866141736" top="0.78740157480314965" bottom="0.78740157480314965" header="1.06" footer="0.51181102362204722"/>
  <pageSetup paperSize="9" scale="82" fitToHeight="0" orientation="landscape" horizontalDpi="4294967292" r:id="rId1"/>
  <headerFooter alignWithMargins="0">
    <oddHeader>&amp;R&amp;"宋体,常规"&amp;10表&amp;"Times New Roman,常规"4-1
&amp;"宋体,常规"共&amp;"Times New Roman,常规"&amp;N&amp;"宋体,常规"页第&amp;"Times New Roman,常规"&amp;P&amp;"宋体,常规"页</oddHead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N29"/>
  <sheetViews>
    <sheetView workbookViewId="0">
      <selection activeCell="H10" sqref="H10"/>
    </sheetView>
  </sheetViews>
  <sheetFormatPr defaultRowHeight="15.75" customHeight="1" outlineLevelCol="1"/>
  <cols>
    <col min="1" max="1" width="5.625" style="4" customWidth="1"/>
    <col min="2" max="2" width="17.125" style="4" customWidth="1"/>
    <col min="3" max="3" width="9" style="4"/>
    <col min="4" max="4" width="7.625" style="4" customWidth="1"/>
    <col min="5" max="5" width="7.75" style="4" customWidth="1"/>
    <col min="6" max="6" width="8.875" style="4" bestFit="1" customWidth="1"/>
    <col min="7" max="7" width="9.5" style="4" customWidth="1"/>
    <col min="8" max="8" width="7.875" style="4" customWidth="1"/>
    <col min="9" max="10" width="13.125" style="4" customWidth="1" outlineLevel="1"/>
    <col min="11" max="11" width="14.875" style="4" customWidth="1"/>
    <col min="12" max="12" width="14.375" style="4" customWidth="1"/>
    <col min="13" max="16384" width="9" style="4"/>
  </cols>
  <sheetData>
    <row r="1" spans="1:14" ht="12.75" customHeight="1">
      <c r="A1" s="272" t="s">
        <v>130</v>
      </c>
      <c r="B1" s="196" t="s">
        <v>131</v>
      </c>
      <c r="C1" s="1"/>
      <c r="D1" s="1"/>
      <c r="E1" s="1"/>
      <c r="F1" s="1"/>
      <c r="G1" s="1"/>
      <c r="H1" s="1"/>
      <c r="I1" s="1"/>
      <c r="J1" s="1"/>
      <c r="K1" s="1"/>
      <c r="L1" s="1"/>
      <c r="M1" s="1"/>
      <c r="N1" s="1"/>
    </row>
    <row r="2" spans="1:14" s="114" customFormat="1" ht="30" customHeight="1">
      <c r="A2" s="790" t="s">
        <v>890</v>
      </c>
      <c r="B2" s="791"/>
      <c r="C2" s="791"/>
      <c r="D2" s="791"/>
      <c r="E2" s="791"/>
      <c r="F2" s="791"/>
      <c r="G2" s="791"/>
      <c r="H2" s="791"/>
      <c r="I2" s="791"/>
      <c r="J2" s="791"/>
      <c r="K2" s="791"/>
      <c r="L2" s="791"/>
      <c r="M2" s="791"/>
      <c r="N2" s="791"/>
    </row>
    <row r="3" spans="1:14" ht="14.1" customHeight="1">
      <c r="A3" s="792" t="e">
        <f>CONCATENATE(#REF!,#REF!,#REF!,#REF!,#REF!,#REF!,#REF!)</f>
        <v>#REF!</v>
      </c>
      <c r="B3" s="792"/>
      <c r="C3" s="792"/>
      <c r="D3" s="792"/>
      <c r="E3" s="792"/>
      <c r="F3" s="792"/>
      <c r="G3" s="792"/>
      <c r="H3" s="792"/>
      <c r="I3" s="808"/>
      <c r="J3" s="808"/>
      <c r="K3" s="808"/>
      <c r="L3" s="808"/>
      <c r="M3" s="808"/>
      <c r="N3" s="808"/>
    </row>
    <row r="4" spans="1:14" ht="15.75" customHeight="1">
      <c r="A4" s="115" t="e">
        <f>#REF!&amp;#REF!</f>
        <v>#REF!</v>
      </c>
      <c r="N4" s="106" t="s">
        <v>3</v>
      </c>
    </row>
    <row r="5" spans="1:14" s="1" customFormat="1" ht="27" customHeight="1">
      <c r="A5" s="2" t="s">
        <v>4</v>
      </c>
      <c r="B5" s="2" t="s">
        <v>42</v>
      </c>
      <c r="C5" s="2" t="s">
        <v>291</v>
      </c>
      <c r="D5" s="2" t="s">
        <v>44</v>
      </c>
      <c r="E5" s="2" t="s">
        <v>45</v>
      </c>
      <c r="F5" s="2" t="s">
        <v>424</v>
      </c>
      <c r="G5" s="2" t="s">
        <v>292</v>
      </c>
      <c r="H5" s="2" t="s">
        <v>729</v>
      </c>
      <c r="I5" s="2" t="s">
        <v>426</v>
      </c>
      <c r="J5" s="2" t="s">
        <v>728</v>
      </c>
      <c r="K5" s="2" t="s">
        <v>315</v>
      </c>
      <c r="L5" s="2" t="s">
        <v>0</v>
      </c>
      <c r="M5" s="2" t="s">
        <v>20</v>
      </c>
      <c r="N5" s="2" t="s">
        <v>72</v>
      </c>
    </row>
    <row r="6" spans="1:14" ht="15.75" customHeight="1">
      <c r="A6" s="105"/>
      <c r="B6" s="128"/>
      <c r="C6" s="105"/>
      <c r="D6" s="121"/>
      <c r="E6" s="105"/>
      <c r="F6" s="105"/>
      <c r="G6" s="142"/>
      <c r="H6" s="142"/>
      <c r="I6" s="142"/>
      <c r="J6" s="142"/>
      <c r="K6" s="142"/>
      <c r="L6" s="142"/>
      <c r="M6" s="142" t="str">
        <f>IF(K6=0,"",(L6-K6)/K6*100)</f>
        <v/>
      </c>
      <c r="N6" s="120"/>
    </row>
    <row r="7" spans="1:14" ht="15.75" customHeight="1">
      <c r="A7" s="105"/>
      <c r="B7" s="128"/>
      <c r="C7" s="105"/>
      <c r="D7" s="121"/>
      <c r="E7" s="105"/>
      <c r="F7" s="105"/>
      <c r="G7" s="142"/>
      <c r="H7" s="142"/>
      <c r="I7" s="142"/>
      <c r="J7" s="142"/>
      <c r="K7" s="142"/>
      <c r="L7" s="142"/>
      <c r="M7" s="142" t="str">
        <f t="shared" ref="M7:M27" si="0">IF(K7=0,"",(L7-K7)/K7*100)</f>
        <v/>
      </c>
      <c r="N7" s="120"/>
    </row>
    <row r="8" spans="1:14" ht="15.75" customHeight="1">
      <c r="A8" s="105"/>
      <c r="B8" s="128"/>
      <c r="C8" s="105"/>
      <c r="D8" s="121"/>
      <c r="E8" s="105"/>
      <c r="F8" s="105"/>
      <c r="G8" s="142"/>
      <c r="H8" s="142"/>
      <c r="I8" s="142"/>
      <c r="J8" s="142"/>
      <c r="K8" s="142"/>
      <c r="L8" s="142"/>
      <c r="M8" s="142" t="str">
        <f t="shared" si="0"/>
        <v/>
      </c>
      <c r="N8" s="120"/>
    </row>
    <row r="9" spans="1:14" ht="15.75" customHeight="1">
      <c r="A9" s="105"/>
      <c r="B9" s="128"/>
      <c r="C9" s="105"/>
      <c r="D9" s="121"/>
      <c r="E9" s="105"/>
      <c r="F9" s="105"/>
      <c r="G9" s="142"/>
      <c r="H9" s="142"/>
      <c r="I9" s="142"/>
      <c r="J9" s="142"/>
      <c r="K9" s="142"/>
      <c r="L9" s="142"/>
      <c r="M9" s="142" t="str">
        <f t="shared" si="0"/>
        <v/>
      </c>
      <c r="N9" s="120"/>
    </row>
    <row r="10" spans="1:14" ht="15.75" customHeight="1">
      <c r="A10" s="105"/>
      <c r="B10" s="128"/>
      <c r="C10" s="105"/>
      <c r="D10" s="121"/>
      <c r="E10" s="105"/>
      <c r="F10" s="105"/>
      <c r="G10" s="142"/>
      <c r="H10" s="142"/>
      <c r="I10" s="142"/>
      <c r="J10" s="142"/>
      <c r="K10" s="142"/>
      <c r="L10" s="142"/>
      <c r="M10" s="142" t="str">
        <f t="shared" si="0"/>
        <v/>
      </c>
      <c r="N10" s="120"/>
    </row>
    <row r="11" spans="1:14" ht="15.75" customHeight="1">
      <c r="A11" s="105"/>
      <c r="B11" s="128"/>
      <c r="C11" s="105"/>
      <c r="D11" s="121"/>
      <c r="E11" s="105"/>
      <c r="F11" s="105"/>
      <c r="G11" s="142"/>
      <c r="H11" s="142"/>
      <c r="I11" s="142"/>
      <c r="J11" s="142"/>
      <c r="K11" s="142"/>
      <c r="L11" s="142"/>
      <c r="M11" s="142" t="str">
        <f t="shared" si="0"/>
        <v/>
      </c>
      <c r="N11" s="120"/>
    </row>
    <row r="12" spans="1:14" ht="15.75" customHeight="1">
      <c r="A12" s="105"/>
      <c r="B12" s="128"/>
      <c r="C12" s="105"/>
      <c r="D12" s="121"/>
      <c r="E12" s="105"/>
      <c r="F12" s="105"/>
      <c r="G12" s="142"/>
      <c r="H12" s="142"/>
      <c r="I12" s="142"/>
      <c r="J12" s="142"/>
      <c r="K12" s="142"/>
      <c r="L12" s="142"/>
      <c r="M12" s="142" t="str">
        <f t="shared" si="0"/>
        <v/>
      </c>
      <c r="N12" s="120"/>
    </row>
    <row r="13" spans="1:14" ht="15.75" customHeight="1">
      <c r="A13" s="105"/>
      <c r="B13" s="128"/>
      <c r="C13" s="105"/>
      <c r="D13" s="121"/>
      <c r="E13" s="105"/>
      <c r="F13" s="105"/>
      <c r="G13" s="142"/>
      <c r="H13" s="142"/>
      <c r="I13" s="142"/>
      <c r="J13" s="142"/>
      <c r="K13" s="142"/>
      <c r="L13" s="142"/>
      <c r="M13" s="142" t="str">
        <f t="shared" si="0"/>
        <v/>
      </c>
      <c r="N13" s="120"/>
    </row>
    <row r="14" spans="1:14" ht="15.75" customHeight="1">
      <c r="A14" s="105"/>
      <c r="B14" s="128"/>
      <c r="C14" s="105"/>
      <c r="D14" s="121"/>
      <c r="E14" s="105"/>
      <c r="F14" s="105"/>
      <c r="G14" s="142"/>
      <c r="H14" s="142"/>
      <c r="I14" s="142"/>
      <c r="J14" s="142"/>
      <c r="K14" s="142"/>
      <c r="L14" s="142"/>
      <c r="M14" s="142" t="str">
        <f t="shared" si="0"/>
        <v/>
      </c>
      <c r="N14" s="120"/>
    </row>
    <row r="15" spans="1:14" ht="15.75" customHeight="1">
      <c r="A15" s="105"/>
      <c r="B15" s="128"/>
      <c r="C15" s="105"/>
      <c r="D15" s="121"/>
      <c r="E15" s="105"/>
      <c r="F15" s="105"/>
      <c r="G15" s="142"/>
      <c r="H15" s="142"/>
      <c r="I15" s="142"/>
      <c r="J15" s="142"/>
      <c r="K15" s="142"/>
      <c r="L15" s="142"/>
      <c r="M15" s="142" t="str">
        <f t="shared" si="0"/>
        <v/>
      </c>
      <c r="N15" s="120"/>
    </row>
    <row r="16" spans="1:14" ht="15.75" customHeight="1">
      <c r="A16" s="105"/>
      <c r="B16" s="128"/>
      <c r="C16" s="105"/>
      <c r="D16" s="121"/>
      <c r="E16" s="105"/>
      <c r="F16" s="105"/>
      <c r="G16" s="142"/>
      <c r="H16" s="142"/>
      <c r="I16" s="142"/>
      <c r="J16" s="142"/>
      <c r="K16" s="142"/>
      <c r="L16" s="142"/>
      <c r="M16" s="142" t="str">
        <f t="shared" si="0"/>
        <v/>
      </c>
      <c r="N16" s="120"/>
    </row>
    <row r="17" spans="1:14" ht="15.75" customHeight="1">
      <c r="A17" s="105"/>
      <c r="B17" s="128"/>
      <c r="C17" s="105"/>
      <c r="D17" s="121"/>
      <c r="E17" s="105"/>
      <c r="F17" s="105"/>
      <c r="G17" s="142"/>
      <c r="H17" s="142"/>
      <c r="I17" s="142"/>
      <c r="J17" s="142"/>
      <c r="K17" s="142"/>
      <c r="L17" s="142"/>
      <c r="M17" s="142" t="str">
        <f t="shared" si="0"/>
        <v/>
      </c>
      <c r="N17" s="120"/>
    </row>
    <row r="18" spans="1:14" ht="15.75" customHeight="1">
      <c r="A18" s="105"/>
      <c r="B18" s="128"/>
      <c r="C18" s="105"/>
      <c r="D18" s="121"/>
      <c r="E18" s="105"/>
      <c r="F18" s="105"/>
      <c r="G18" s="142"/>
      <c r="H18" s="142"/>
      <c r="I18" s="142"/>
      <c r="J18" s="142"/>
      <c r="K18" s="142"/>
      <c r="L18" s="142"/>
      <c r="M18" s="142" t="str">
        <f t="shared" si="0"/>
        <v/>
      </c>
      <c r="N18" s="120"/>
    </row>
    <row r="19" spans="1:14" ht="15.75" customHeight="1">
      <c r="A19" s="105"/>
      <c r="B19" s="128"/>
      <c r="C19" s="105"/>
      <c r="D19" s="121"/>
      <c r="E19" s="105"/>
      <c r="F19" s="105"/>
      <c r="G19" s="142"/>
      <c r="H19" s="142"/>
      <c r="I19" s="142"/>
      <c r="J19" s="142"/>
      <c r="K19" s="142"/>
      <c r="L19" s="142"/>
      <c r="M19" s="142" t="str">
        <f t="shared" si="0"/>
        <v/>
      </c>
      <c r="N19" s="120"/>
    </row>
    <row r="20" spans="1:14" ht="15.75" customHeight="1">
      <c r="A20" s="105"/>
      <c r="B20" s="128"/>
      <c r="C20" s="105"/>
      <c r="D20" s="121"/>
      <c r="E20" s="105"/>
      <c r="F20" s="105"/>
      <c r="G20" s="142"/>
      <c r="H20" s="142"/>
      <c r="I20" s="142"/>
      <c r="J20" s="142"/>
      <c r="K20" s="142"/>
      <c r="L20" s="142"/>
      <c r="M20" s="142" t="str">
        <f t="shared" si="0"/>
        <v/>
      </c>
      <c r="N20" s="120"/>
    </row>
    <row r="21" spans="1:14" ht="15.75" customHeight="1">
      <c r="A21" s="105"/>
      <c r="B21" s="128"/>
      <c r="C21" s="105"/>
      <c r="D21" s="121"/>
      <c r="E21" s="105"/>
      <c r="F21" s="105"/>
      <c r="G21" s="142"/>
      <c r="H21" s="142"/>
      <c r="I21" s="142"/>
      <c r="J21" s="142"/>
      <c r="K21" s="142"/>
      <c r="L21" s="142"/>
      <c r="M21" s="142" t="str">
        <f t="shared" si="0"/>
        <v/>
      </c>
      <c r="N21" s="120"/>
    </row>
    <row r="22" spans="1:14" ht="15.75" customHeight="1">
      <c r="A22" s="105"/>
      <c r="B22" s="128"/>
      <c r="C22" s="105"/>
      <c r="D22" s="121"/>
      <c r="E22" s="105"/>
      <c r="F22" s="105"/>
      <c r="G22" s="142"/>
      <c r="H22" s="142"/>
      <c r="I22" s="142"/>
      <c r="J22" s="142"/>
      <c r="K22" s="142"/>
      <c r="L22" s="142"/>
      <c r="M22" s="142" t="str">
        <f t="shared" si="0"/>
        <v/>
      </c>
      <c r="N22" s="120"/>
    </row>
    <row r="23" spans="1:14" ht="15.75" customHeight="1">
      <c r="A23" s="105"/>
      <c r="B23" s="128"/>
      <c r="C23" s="105"/>
      <c r="D23" s="121"/>
      <c r="E23" s="105"/>
      <c r="F23" s="105"/>
      <c r="G23" s="142"/>
      <c r="H23" s="142"/>
      <c r="I23" s="142"/>
      <c r="J23" s="142"/>
      <c r="K23" s="142"/>
      <c r="L23" s="142"/>
      <c r="M23" s="142" t="str">
        <f t="shared" si="0"/>
        <v/>
      </c>
      <c r="N23" s="120"/>
    </row>
    <row r="24" spans="1:14" ht="15.75" customHeight="1">
      <c r="A24" s="105"/>
      <c r="B24" s="128"/>
      <c r="C24" s="105"/>
      <c r="D24" s="121"/>
      <c r="E24" s="105"/>
      <c r="F24" s="105"/>
      <c r="G24" s="142"/>
      <c r="H24" s="142"/>
      <c r="I24" s="142"/>
      <c r="J24" s="142"/>
      <c r="K24" s="142"/>
      <c r="L24" s="142"/>
      <c r="M24" s="142" t="str">
        <f t="shared" si="0"/>
        <v/>
      </c>
      <c r="N24" s="120"/>
    </row>
    <row r="25" spans="1:14" ht="15.75" customHeight="1">
      <c r="A25" s="105"/>
      <c r="B25" s="128"/>
      <c r="C25" s="105"/>
      <c r="D25" s="121"/>
      <c r="E25" s="105"/>
      <c r="F25" s="105"/>
      <c r="G25" s="142"/>
      <c r="H25" s="142"/>
      <c r="I25" s="142"/>
      <c r="J25" s="142"/>
      <c r="K25" s="142"/>
      <c r="L25" s="142"/>
      <c r="M25" s="142" t="str">
        <f t="shared" si="0"/>
        <v/>
      </c>
      <c r="N25" s="120"/>
    </row>
    <row r="26" spans="1:14" ht="15.75" customHeight="1">
      <c r="A26" s="105"/>
      <c r="B26" s="128"/>
      <c r="C26" s="105"/>
      <c r="D26" s="121"/>
      <c r="E26" s="105"/>
      <c r="F26" s="105"/>
      <c r="G26" s="142"/>
      <c r="H26" s="142"/>
      <c r="I26" s="142"/>
      <c r="J26" s="142"/>
      <c r="K26" s="142"/>
      <c r="L26" s="142"/>
      <c r="M26" s="142"/>
      <c r="N26" s="120"/>
    </row>
    <row r="27" spans="1:14" ht="15.75" customHeight="1">
      <c r="A27" s="809" t="s">
        <v>54</v>
      </c>
      <c r="B27" s="810"/>
      <c r="C27" s="105"/>
      <c r="D27" s="121"/>
      <c r="E27" s="105"/>
      <c r="F27" s="105"/>
      <c r="G27" s="142"/>
      <c r="H27" s="142"/>
      <c r="I27" s="142">
        <f>SUM(I6:I26)</f>
        <v>0</v>
      </c>
      <c r="J27" s="142"/>
      <c r="K27" s="142">
        <f>SUM(K6:K26)</f>
        <v>0</v>
      </c>
      <c r="L27" s="142">
        <f>SUM(L6:L26)</f>
        <v>0</v>
      </c>
      <c r="M27" s="142" t="str">
        <f t="shared" si="0"/>
        <v/>
      </c>
      <c r="N27" s="120"/>
    </row>
    <row r="28" spans="1:14" ht="15.75" customHeight="1">
      <c r="A28" s="101" t="e">
        <f>#REF!&amp;#REF!</f>
        <v>#REF!</v>
      </c>
      <c r="K28" s="115" t="e">
        <f>"评估人员："&amp;#REF!</f>
        <v>#REF!</v>
      </c>
    </row>
    <row r="29" spans="1:14" ht="15.75" customHeight="1">
      <c r="A29" s="101" t="e">
        <f>CONCATENATE(#REF!,#REF!,#REF!,#REF!,#REF!,#REF!,#REF!)</f>
        <v>#REF!</v>
      </c>
    </row>
  </sheetData>
  <mergeCells count="3">
    <mergeCell ref="A2:N2"/>
    <mergeCell ref="A3:N3"/>
    <mergeCell ref="A27:B27"/>
  </mergeCells>
  <phoneticPr fontId="6" type="noConversion"/>
  <hyperlinks>
    <hyperlink ref="A1" location="索引目录!E28" display="股票投资"/>
    <hyperlink ref="B1" location="可供出售金融资产汇总!B6" display="可供出售金融资产-股票投资"/>
  </hyperlinks>
  <printOptions horizontalCentered="1"/>
  <pageMargins left="0.35433070866141736" right="0.35433070866141736" top="0.78740157480314965" bottom="0.78740157480314965" header="1.03" footer="0.51181102362204722"/>
  <pageSetup paperSize="9" scale="89" fitToHeight="0" orientation="landscape" horizontalDpi="4294967292" r:id="rId1"/>
  <headerFooter alignWithMargins="0">
    <oddHeader>&amp;R&amp;"宋体,常规"&amp;10表&amp;"Times New Roman,常规"4-1-1
&amp;"宋体,常规"共&amp;"Times New Roman,常规"&amp;N&amp;"宋体,常规"页第&amp;"Times New Roman,常规"&amp;P&amp;"宋体,常规"页</oddHeader>
  </headerFooter>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N29"/>
  <sheetViews>
    <sheetView topLeftCell="A4" workbookViewId="0">
      <selection activeCell="H10" sqref="H10"/>
    </sheetView>
  </sheetViews>
  <sheetFormatPr defaultRowHeight="15.75" customHeight="1" outlineLevelCol="1"/>
  <cols>
    <col min="1" max="1" width="4.375" style="4" customWidth="1"/>
    <col min="2" max="2" width="19.875" style="4" customWidth="1"/>
    <col min="3" max="3" width="8.25" style="4" customWidth="1"/>
    <col min="4" max="4" width="7.875" style="4" customWidth="1"/>
    <col min="5" max="5" width="9" style="4"/>
    <col min="6" max="6" width="9.375" style="4" bestFit="1" customWidth="1"/>
    <col min="7" max="7" width="11.125" style="4" customWidth="1"/>
    <col min="8" max="9" width="15.375" style="4" customWidth="1" outlineLevel="1"/>
    <col min="10" max="10" width="15.375" style="4" customWidth="1"/>
    <col min="11" max="11" width="15" style="4" customWidth="1"/>
    <col min="12" max="12" width="11.125" style="4" customWidth="1"/>
    <col min="13" max="13" width="10.625" style="4" customWidth="1"/>
    <col min="14" max="16384" width="9" style="4"/>
  </cols>
  <sheetData>
    <row r="1" spans="1:14" ht="14.25">
      <c r="A1" s="272" t="s">
        <v>130</v>
      </c>
      <c r="B1" s="196" t="s">
        <v>131</v>
      </c>
      <c r="C1" s="1"/>
      <c r="D1" s="1"/>
      <c r="E1" s="1"/>
      <c r="F1" s="1"/>
      <c r="G1" s="1"/>
      <c r="H1" s="1"/>
      <c r="I1" s="1"/>
      <c r="J1" s="1"/>
      <c r="K1" s="1"/>
      <c r="L1" s="1"/>
      <c r="M1" s="1"/>
    </row>
    <row r="2" spans="1:14" s="114" customFormat="1" ht="30" customHeight="1">
      <c r="A2" s="790" t="s">
        <v>889</v>
      </c>
      <c r="B2" s="791"/>
      <c r="C2" s="791"/>
      <c r="D2" s="791"/>
      <c r="E2" s="791"/>
      <c r="F2" s="791"/>
      <c r="G2" s="791"/>
      <c r="H2" s="791"/>
      <c r="I2" s="791"/>
      <c r="J2" s="791"/>
      <c r="K2" s="791"/>
      <c r="L2" s="791"/>
      <c r="M2" s="791"/>
    </row>
    <row r="3" spans="1:14" ht="14.1" customHeight="1">
      <c r="A3" s="792" t="e">
        <f>CONCATENATE(#REF!,#REF!,#REF!,#REF!,#REF!,#REF!,#REF!)</f>
        <v>#REF!</v>
      </c>
      <c r="B3" s="792"/>
      <c r="C3" s="792"/>
      <c r="D3" s="792"/>
      <c r="E3" s="792"/>
      <c r="F3" s="792"/>
      <c r="G3" s="792"/>
      <c r="H3" s="792"/>
      <c r="I3" s="792"/>
      <c r="J3" s="808"/>
      <c r="K3" s="808"/>
      <c r="L3" s="808"/>
      <c r="M3" s="808"/>
      <c r="N3" s="122"/>
    </row>
    <row r="4" spans="1:14" ht="15.75" customHeight="1">
      <c r="A4" s="115" t="e">
        <f>#REF!&amp;#REF!</f>
        <v>#REF!</v>
      </c>
      <c r="M4" s="106" t="s">
        <v>3</v>
      </c>
    </row>
    <row r="5" spans="1:14" s="1" customFormat="1" ht="15.75" customHeight="1">
      <c r="A5" s="2" t="s">
        <v>4</v>
      </c>
      <c r="B5" s="2" t="s">
        <v>42</v>
      </c>
      <c r="C5" s="2" t="s">
        <v>290</v>
      </c>
      <c r="D5" s="2" t="s">
        <v>49</v>
      </c>
      <c r="E5" s="2" t="s">
        <v>231</v>
      </c>
      <c r="F5" s="2" t="s">
        <v>425</v>
      </c>
      <c r="G5" s="2" t="s">
        <v>730</v>
      </c>
      <c r="H5" s="2" t="s">
        <v>426</v>
      </c>
      <c r="I5" s="2" t="s">
        <v>710</v>
      </c>
      <c r="J5" s="2" t="s">
        <v>315</v>
      </c>
      <c r="K5" s="2" t="s">
        <v>0</v>
      </c>
      <c r="L5" s="2" t="s">
        <v>20</v>
      </c>
      <c r="M5" s="2" t="s">
        <v>72</v>
      </c>
    </row>
    <row r="6" spans="1:14" ht="15.75" customHeight="1">
      <c r="A6" s="105"/>
      <c r="B6" s="128"/>
      <c r="C6" s="105"/>
      <c r="D6" s="121"/>
      <c r="E6" s="121"/>
      <c r="F6" s="105"/>
      <c r="G6" s="105"/>
      <c r="H6" s="142"/>
      <c r="I6" s="142"/>
      <c r="J6" s="142"/>
      <c r="K6" s="142"/>
      <c r="L6" s="142" t="str">
        <f t="shared" ref="L6:L25" si="0">IF(J6=0,"",(K6-J6)/J6*100)</f>
        <v/>
      </c>
      <c r="M6" s="120"/>
    </row>
    <row r="7" spans="1:14" ht="15.75" customHeight="1">
      <c r="A7" s="105"/>
      <c r="B7" s="128"/>
      <c r="C7" s="105"/>
      <c r="D7" s="121"/>
      <c r="E7" s="121"/>
      <c r="F7" s="105"/>
      <c r="G7" s="105"/>
      <c r="H7" s="142"/>
      <c r="I7" s="142"/>
      <c r="J7" s="142"/>
      <c r="K7" s="142"/>
      <c r="L7" s="142" t="str">
        <f t="shared" si="0"/>
        <v/>
      </c>
      <c r="M7" s="120"/>
    </row>
    <row r="8" spans="1:14" ht="15.75" customHeight="1">
      <c r="A8" s="105"/>
      <c r="B8" s="128"/>
      <c r="C8" s="105"/>
      <c r="D8" s="121"/>
      <c r="E8" s="121"/>
      <c r="F8" s="105"/>
      <c r="G8" s="105"/>
      <c r="H8" s="142"/>
      <c r="I8" s="142"/>
      <c r="J8" s="142"/>
      <c r="K8" s="142"/>
      <c r="L8" s="142" t="str">
        <f t="shared" si="0"/>
        <v/>
      </c>
      <c r="M8" s="120"/>
    </row>
    <row r="9" spans="1:14" ht="15.75" customHeight="1">
      <c r="A9" s="105"/>
      <c r="B9" s="128"/>
      <c r="C9" s="105"/>
      <c r="D9" s="121"/>
      <c r="E9" s="121"/>
      <c r="F9" s="105"/>
      <c r="G9" s="105"/>
      <c r="H9" s="142"/>
      <c r="I9" s="142"/>
      <c r="J9" s="142"/>
      <c r="K9" s="142"/>
      <c r="L9" s="142" t="str">
        <f t="shared" si="0"/>
        <v/>
      </c>
      <c r="M9" s="120"/>
    </row>
    <row r="10" spans="1:14" ht="15.75" customHeight="1">
      <c r="A10" s="105"/>
      <c r="B10" s="128"/>
      <c r="C10" s="105"/>
      <c r="D10" s="121"/>
      <c r="E10" s="121"/>
      <c r="F10" s="105"/>
      <c r="G10" s="105"/>
      <c r="H10" s="142"/>
      <c r="I10" s="142"/>
      <c r="J10" s="142"/>
      <c r="K10" s="142"/>
      <c r="L10" s="142" t="str">
        <f t="shared" si="0"/>
        <v/>
      </c>
      <c r="M10" s="120"/>
    </row>
    <row r="11" spans="1:14" ht="15.75" customHeight="1">
      <c r="A11" s="105"/>
      <c r="B11" s="128"/>
      <c r="C11" s="105"/>
      <c r="D11" s="121"/>
      <c r="E11" s="121"/>
      <c r="F11" s="105"/>
      <c r="G11" s="105"/>
      <c r="H11" s="142"/>
      <c r="I11" s="142"/>
      <c r="J11" s="142"/>
      <c r="K11" s="142"/>
      <c r="L11" s="142" t="str">
        <f t="shared" si="0"/>
        <v/>
      </c>
      <c r="M11" s="120"/>
    </row>
    <row r="12" spans="1:14" ht="15.75" customHeight="1">
      <c r="A12" s="105"/>
      <c r="B12" s="128"/>
      <c r="C12" s="105"/>
      <c r="D12" s="121"/>
      <c r="E12" s="121"/>
      <c r="F12" s="105"/>
      <c r="G12" s="105"/>
      <c r="H12" s="142"/>
      <c r="I12" s="142"/>
      <c r="J12" s="142"/>
      <c r="K12" s="142"/>
      <c r="L12" s="142" t="str">
        <f t="shared" si="0"/>
        <v/>
      </c>
      <c r="M12" s="120"/>
    </row>
    <row r="13" spans="1:14" ht="15.75" customHeight="1">
      <c r="A13" s="105"/>
      <c r="B13" s="128"/>
      <c r="C13" s="105"/>
      <c r="D13" s="121"/>
      <c r="E13" s="121"/>
      <c r="F13" s="105"/>
      <c r="G13" s="105"/>
      <c r="H13" s="142"/>
      <c r="I13" s="142"/>
      <c r="J13" s="142"/>
      <c r="K13" s="142"/>
      <c r="L13" s="142" t="str">
        <f t="shared" si="0"/>
        <v/>
      </c>
      <c r="M13" s="120"/>
    </row>
    <row r="14" spans="1:14" ht="15.75" customHeight="1">
      <c r="A14" s="105"/>
      <c r="B14" s="128"/>
      <c r="C14" s="105"/>
      <c r="D14" s="121"/>
      <c r="E14" s="121"/>
      <c r="F14" s="105"/>
      <c r="G14" s="105"/>
      <c r="H14" s="142"/>
      <c r="I14" s="142"/>
      <c r="J14" s="142"/>
      <c r="K14" s="142"/>
      <c r="L14" s="142" t="str">
        <f t="shared" si="0"/>
        <v/>
      </c>
      <c r="M14" s="120"/>
    </row>
    <row r="15" spans="1:14" ht="15.75" customHeight="1">
      <c r="A15" s="105"/>
      <c r="B15" s="128"/>
      <c r="C15" s="105"/>
      <c r="D15" s="121"/>
      <c r="E15" s="121"/>
      <c r="F15" s="105"/>
      <c r="G15" s="105"/>
      <c r="H15" s="142"/>
      <c r="I15" s="142"/>
      <c r="J15" s="142"/>
      <c r="K15" s="142"/>
      <c r="L15" s="142" t="str">
        <f t="shared" si="0"/>
        <v/>
      </c>
      <c r="M15" s="120"/>
    </row>
    <row r="16" spans="1:14" ht="15.75" customHeight="1">
      <c r="A16" s="105"/>
      <c r="B16" s="128"/>
      <c r="C16" s="105"/>
      <c r="D16" s="121"/>
      <c r="E16" s="121"/>
      <c r="F16" s="105"/>
      <c r="G16" s="105"/>
      <c r="H16" s="142"/>
      <c r="I16" s="142"/>
      <c r="J16" s="142"/>
      <c r="K16" s="142"/>
      <c r="L16" s="142" t="str">
        <f t="shared" si="0"/>
        <v/>
      </c>
      <c r="M16" s="120"/>
    </row>
    <row r="17" spans="1:13" ht="15.75" customHeight="1">
      <c r="A17" s="105"/>
      <c r="B17" s="128"/>
      <c r="C17" s="105"/>
      <c r="D17" s="121"/>
      <c r="E17" s="121"/>
      <c r="F17" s="105"/>
      <c r="G17" s="105"/>
      <c r="H17" s="142"/>
      <c r="I17" s="142"/>
      <c r="J17" s="142"/>
      <c r="K17" s="142"/>
      <c r="L17" s="142" t="str">
        <f t="shared" si="0"/>
        <v/>
      </c>
      <c r="M17" s="120"/>
    </row>
    <row r="18" spans="1:13" ht="15.75" customHeight="1">
      <c r="A18" s="105"/>
      <c r="B18" s="128"/>
      <c r="C18" s="105"/>
      <c r="D18" s="121"/>
      <c r="E18" s="121"/>
      <c r="F18" s="105"/>
      <c r="G18" s="105"/>
      <c r="H18" s="142"/>
      <c r="I18" s="142"/>
      <c r="J18" s="142"/>
      <c r="K18" s="142"/>
      <c r="L18" s="142" t="str">
        <f t="shared" si="0"/>
        <v/>
      </c>
      <c r="M18" s="120"/>
    </row>
    <row r="19" spans="1:13" ht="15.75" customHeight="1">
      <c r="A19" s="105"/>
      <c r="B19" s="128"/>
      <c r="C19" s="105"/>
      <c r="D19" s="121"/>
      <c r="E19" s="121"/>
      <c r="F19" s="105"/>
      <c r="G19" s="105"/>
      <c r="H19" s="142"/>
      <c r="I19" s="142"/>
      <c r="J19" s="142"/>
      <c r="K19" s="142"/>
      <c r="L19" s="142" t="str">
        <f t="shared" si="0"/>
        <v/>
      </c>
      <c r="M19" s="120"/>
    </row>
    <row r="20" spans="1:13" ht="15.75" customHeight="1">
      <c r="A20" s="105"/>
      <c r="B20" s="128"/>
      <c r="C20" s="105"/>
      <c r="D20" s="121"/>
      <c r="E20" s="121"/>
      <c r="F20" s="105"/>
      <c r="G20" s="105"/>
      <c r="H20" s="142"/>
      <c r="I20" s="142"/>
      <c r="J20" s="142"/>
      <c r="K20" s="142"/>
      <c r="L20" s="142" t="str">
        <f t="shared" si="0"/>
        <v/>
      </c>
      <c r="M20" s="120"/>
    </row>
    <row r="21" spans="1:13" ht="15.75" customHeight="1">
      <c r="A21" s="105"/>
      <c r="B21" s="128"/>
      <c r="C21" s="105"/>
      <c r="D21" s="121"/>
      <c r="E21" s="121"/>
      <c r="F21" s="105"/>
      <c r="G21" s="105"/>
      <c r="H21" s="142"/>
      <c r="I21" s="142"/>
      <c r="J21" s="142"/>
      <c r="K21" s="142"/>
      <c r="L21" s="142" t="str">
        <f t="shared" si="0"/>
        <v/>
      </c>
      <c r="M21" s="120"/>
    </row>
    <row r="22" spans="1:13" ht="15.75" customHeight="1">
      <c r="A22" s="105"/>
      <c r="B22" s="128"/>
      <c r="C22" s="105"/>
      <c r="D22" s="121"/>
      <c r="E22" s="121"/>
      <c r="F22" s="105"/>
      <c r="G22" s="105"/>
      <c r="H22" s="142"/>
      <c r="I22" s="142"/>
      <c r="J22" s="142"/>
      <c r="K22" s="142"/>
      <c r="L22" s="142" t="str">
        <f t="shared" si="0"/>
        <v/>
      </c>
      <c r="M22" s="120"/>
    </row>
    <row r="23" spans="1:13" ht="15.75" customHeight="1">
      <c r="A23" s="105"/>
      <c r="B23" s="128"/>
      <c r="C23" s="105"/>
      <c r="D23" s="121"/>
      <c r="E23" s="121"/>
      <c r="F23" s="105"/>
      <c r="G23" s="105"/>
      <c r="H23" s="142"/>
      <c r="I23" s="142"/>
      <c r="J23" s="142"/>
      <c r="K23" s="142"/>
      <c r="L23" s="142" t="str">
        <f t="shared" si="0"/>
        <v/>
      </c>
      <c r="M23" s="120"/>
    </row>
    <row r="24" spans="1:13" ht="15.75" customHeight="1">
      <c r="A24" s="105"/>
      <c r="B24" s="128"/>
      <c r="C24" s="105"/>
      <c r="D24" s="121"/>
      <c r="E24" s="121"/>
      <c r="F24" s="105"/>
      <c r="G24" s="105"/>
      <c r="H24" s="142"/>
      <c r="I24" s="142"/>
      <c r="J24" s="142"/>
      <c r="K24" s="142"/>
      <c r="L24" s="142" t="str">
        <f t="shared" si="0"/>
        <v/>
      </c>
      <c r="M24" s="120"/>
    </row>
    <row r="25" spans="1:13" ht="15.75" customHeight="1">
      <c r="A25" s="105"/>
      <c r="B25" s="128"/>
      <c r="C25" s="105"/>
      <c r="D25" s="121"/>
      <c r="E25" s="121"/>
      <c r="F25" s="105"/>
      <c r="G25" s="105"/>
      <c r="H25" s="142"/>
      <c r="I25" s="142"/>
      <c r="J25" s="142"/>
      <c r="K25" s="142"/>
      <c r="L25" s="142" t="str">
        <f t="shared" si="0"/>
        <v/>
      </c>
      <c r="M25" s="120"/>
    </row>
    <row r="26" spans="1:13" ht="15.75" customHeight="1">
      <c r="A26" s="105"/>
      <c r="B26" s="128"/>
      <c r="C26" s="105"/>
      <c r="D26" s="121"/>
      <c r="E26" s="121"/>
      <c r="F26" s="105"/>
      <c r="G26" s="105"/>
      <c r="H26" s="142"/>
      <c r="I26" s="142"/>
      <c r="J26" s="142"/>
      <c r="K26" s="142"/>
      <c r="L26" s="142"/>
      <c r="M26" s="120"/>
    </row>
    <row r="27" spans="1:13" ht="15.75" customHeight="1">
      <c r="A27" s="809" t="s">
        <v>54</v>
      </c>
      <c r="B27" s="810"/>
      <c r="C27" s="105"/>
      <c r="D27" s="121"/>
      <c r="E27" s="121"/>
      <c r="F27" s="105"/>
      <c r="G27" s="105"/>
      <c r="H27" s="142">
        <f>SUM(H6:H26)</f>
        <v>0</v>
      </c>
      <c r="I27" s="142"/>
      <c r="J27" s="142">
        <f>SUM(J6:J26)</f>
        <v>0</v>
      </c>
      <c r="K27" s="142">
        <f>SUM(K6:K26)</f>
        <v>0</v>
      </c>
      <c r="L27" s="142" t="str">
        <f>IF(J27=0,"",(K27-J27)/J27*100)</f>
        <v/>
      </c>
      <c r="M27" s="120"/>
    </row>
    <row r="28" spans="1:13" ht="15.75" customHeight="1">
      <c r="A28" s="101" t="e">
        <f>#REF!&amp;#REF!</f>
        <v>#REF!</v>
      </c>
      <c r="J28" s="115" t="e">
        <f>"评估人员："&amp;#REF!</f>
        <v>#REF!</v>
      </c>
    </row>
    <row r="29" spans="1:13" ht="15.75" customHeight="1">
      <c r="A29" s="101" t="e">
        <f>CONCATENATE(#REF!,#REF!,#REF!,#REF!,#REF!,#REF!,#REF!)</f>
        <v>#REF!</v>
      </c>
    </row>
  </sheetData>
  <mergeCells count="3">
    <mergeCell ref="A2:M2"/>
    <mergeCell ref="A3:M3"/>
    <mergeCell ref="A27:B27"/>
  </mergeCells>
  <phoneticPr fontId="6" type="noConversion"/>
  <hyperlinks>
    <hyperlink ref="A1" location="索引目录!E29" display="债券投资"/>
    <hyperlink ref="B1" location="可供出售金融资产汇总!B7" display="可供出售金融资产-债券投资"/>
  </hyperlinks>
  <printOptions horizontalCentered="1"/>
  <pageMargins left="0.35433070866141736" right="0.35433070866141736" top="0.78740157480314965" bottom="0.78740157480314965" header="1.05" footer="0.51181102362204722"/>
  <pageSetup paperSize="9" scale="86" fitToHeight="0" orientation="landscape" horizontalDpi="4294967292" r:id="rId1"/>
  <headerFooter alignWithMargins="0">
    <oddHeader>&amp;R&amp;"宋体,常规"&amp;10表&amp;"Times New Roman,常规"4-1-2
&amp;"宋体,常规"共&amp;"Times New Roman,常规"&amp;N&amp;"宋体,常规"页第&amp;"Times New Roman,常规"&amp;P&amp;"宋体,常规"页</oddHead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fitToPage="1"/>
  </sheetPr>
  <dimension ref="A1:M29"/>
  <sheetViews>
    <sheetView workbookViewId="0">
      <selection activeCell="H10" sqref="H10"/>
    </sheetView>
  </sheetViews>
  <sheetFormatPr defaultRowHeight="15.75" customHeight="1" outlineLevelCol="1"/>
  <cols>
    <col min="1" max="1" width="5.625" style="4" customWidth="1"/>
    <col min="2" max="2" width="18.25" style="4" customWidth="1"/>
    <col min="3" max="3" width="14.75" style="4" customWidth="1"/>
    <col min="4" max="4" width="8.375" style="4" customWidth="1"/>
    <col min="5" max="5" width="7.75" style="4" customWidth="1"/>
    <col min="6" max="6" width="6.625" style="4" customWidth="1"/>
    <col min="7" max="7" width="11.375" style="4" customWidth="1"/>
    <col min="8" max="9" width="13.125" style="4" customWidth="1" outlineLevel="1"/>
    <col min="10" max="10" width="14.875" style="4" customWidth="1"/>
    <col min="11" max="11" width="14.375" style="4" customWidth="1"/>
    <col min="12" max="16384" width="9" style="4"/>
  </cols>
  <sheetData>
    <row r="1" spans="1:13" ht="12.75" customHeight="1">
      <c r="A1" s="272" t="s">
        <v>130</v>
      </c>
      <c r="B1" s="196" t="s">
        <v>131</v>
      </c>
      <c r="C1" s="1"/>
      <c r="D1" s="1"/>
      <c r="E1" s="1"/>
      <c r="F1" s="1"/>
      <c r="G1" s="1"/>
      <c r="H1" s="1"/>
      <c r="I1" s="1"/>
      <c r="J1" s="1"/>
      <c r="K1" s="1"/>
      <c r="L1" s="1"/>
      <c r="M1" s="1"/>
    </row>
    <row r="2" spans="1:13" s="114" customFormat="1" ht="30" customHeight="1">
      <c r="A2" s="790" t="s">
        <v>888</v>
      </c>
      <c r="B2" s="791"/>
      <c r="C2" s="791"/>
      <c r="D2" s="791"/>
      <c r="E2" s="791"/>
      <c r="F2" s="791"/>
      <c r="G2" s="791"/>
      <c r="H2" s="791"/>
      <c r="I2" s="791"/>
      <c r="J2" s="791"/>
      <c r="K2" s="791"/>
      <c r="L2" s="791"/>
      <c r="M2" s="791"/>
    </row>
    <row r="3" spans="1:13" ht="14.1" customHeight="1">
      <c r="A3" s="792" t="e">
        <f>CONCATENATE(#REF!,#REF!,#REF!,#REF!,#REF!,#REF!,#REF!)</f>
        <v>#REF!</v>
      </c>
      <c r="B3" s="792"/>
      <c r="C3" s="792"/>
      <c r="D3" s="792"/>
      <c r="E3" s="792"/>
      <c r="F3" s="792"/>
      <c r="G3" s="792"/>
      <c r="H3" s="808"/>
      <c r="I3" s="808"/>
      <c r="J3" s="808"/>
      <c r="K3" s="808"/>
      <c r="L3" s="808"/>
      <c r="M3" s="808"/>
    </row>
    <row r="4" spans="1:13" ht="15.75" customHeight="1">
      <c r="A4" s="115" t="e">
        <f>#REF!&amp;#REF!</f>
        <v>#REF!</v>
      </c>
      <c r="M4" s="106" t="s">
        <v>528</v>
      </c>
    </row>
    <row r="5" spans="1:13" s="1" customFormat="1" ht="27" customHeight="1">
      <c r="A5" s="2" t="s">
        <v>529</v>
      </c>
      <c r="B5" s="2" t="s">
        <v>530</v>
      </c>
      <c r="C5" s="2" t="s">
        <v>537</v>
      </c>
      <c r="D5" s="2" t="s">
        <v>535</v>
      </c>
      <c r="E5" s="2" t="s">
        <v>538</v>
      </c>
      <c r="F5" s="2" t="s">
        <v>536</v>
      </c>
      <c r="G5" s="2" t="s">
        <v>712</v>
      </c>
      <c r="H5" s="2" t="s">
        <v>426</v>
      </c>
      <c r="I5" s="2" t="s">
        <v>710</v>
      </c>
      <c r="J5" s="2" t="s">
        <v>315</v>
      </c>
      <c r="K5" s="2" t="s">
        <v>531</v>
      </c>
      <c r="L5" s="2" t="s">
        <v>532</v>
      </c>
      <c r="M5" s="2" t="s">
        <v>533</v>
      </c>
    </row>
    <row r="6" spans="1:13" ht="15.75" customHeight="1">
      <c r="A6" s="105"/>
      <c r="B6" s="128"/>
      <c r="C6" s="105"/>
      <c r="D6" s="121"/>
      <c r="E6" s="105"/>
      <c r="F6" s="142"/>
      <c r="G6" s="142"/>
      <c r="H6" s="142"/>
      <c r="I6" s="142"/>
      <c r="J6" s="142"/>
      <c r="K6" s="142"/>
      <c r="L6" s="142" t="str">
        <f t="shared" ref="L6:L25" si="0">IF(J6=0,"",(K6-J6)/J6*100)</f>
        <v/>
      </c>
      <c r="M6" s="120"/>
    </row>
    <row r="7" spans="1:13" ht="15.75" customHeight="1">
      <c r="A7" s="105"/>
      <c r="B7" s="128"/>
      <c r="C7" s="105"/>
      <c r="D7" s="121"/>
      <c r="E7" s="105"/>
      <c r="F7" s="142"/>
      <c r="G7" s="142"/>
      <c r="H7" s="142"/>
      <c r="I7" s="142"/>
      <c r="J7" s="142"/>
      <c r="K7" s="142"/>
      <c r="L7" s="142" t="str">
        <f t="shared" si="0"/>
        <v/>
      </c>
      <c r="M7" s="120"/>
    </row>
    <row r="8" spans="1:13" ht="15.75" customHeight="1">
      <c r="A8" s="105"/>
      <c r="B8" s="128"/>
      <c r="C8" s="105"/>
      <c r="D8" s="121"/>
      <c r="E8" s="105"/>
      <c r="F8" s="142"/>
      <c r="G8" s="142"/>
      <c r="H8" s="142"/>
      <c r="I8" s="142"/>
      <c r="J8" s="142"/>
      <c r="K8" s="142"/>
      <c r="L8" s="142" t="str">
        <f t="shared" si="0"/>
        <v/>
      </c>
      <c r="M8" s="120"/>
    </row>
    <row r="9" spans="1:13" ht="15.75" customHeight="1">
      <c r="A9" s="105"/>
      <c r="B9" s="128"/>
      <c r="C9" s="105"/>
      <c r="D9" s="121"/>
      <c r="E9" s="105"/>
      <c r="F9" s="142"/>
      <c r="G9" s="142"/>
      <c r="H9" s="142"/>
      <c r="I9" s="142"/>
      <c r="J9" s="142"/>
      <c r="K9" s="142"/>
      <c r="L9" s="142" t="str">
        <f t="shared" si="0"/>
        <v/>
      </c>
      <c r="M9" s="120"/>
    </row>
    <row r="10" spans="1:13" ht="15.75" customHeight="1">
      <c r="A10" s="105"/>
      <c r="B10" s="128"/>
      <c r="C10" s="105"/>
      <c r="D10" s="121"/>
      <c r="E10" s="105"/>
      <c r="F10" s="142"/>
      <c r="G10" s="142"/>
      <c r="H10" s="142"/>
      <c r="I10" s="142"/>
      <c r="J10" s="142"/>
      <c r="K10" s="142"/>
      <c r="L10" s="142" t="str">
        <f t="shared" si="0"/>
        <v/>
      </c>
      <c r="M10" s="120"/>
    </row>
    <row r="11" spans="1:13" ht="15.75" customHeight="1">
      <c r="A11" s="105"/>
      <c r="B11" s="128"/>
      <c r="C11" s="105"/>
      <c r="D11" s="121"/>
      <c r="E11" s="105"/>
      <c r="F11" s="142"/>
      <c r="G11" s="142"/>
      <c r="H11" s="142"/>
      <c r="I11" s="142"/>
      <c r="J11" s="142"/>
      <c r="K11" s="142"/>
      <c r="L11" s="142" t="str">
        <f t="shared" si="0"/>
        <v/>
      </c>
      <c r="M11" s="120"/>
    </row>
    <row r="12" spans="1:13" ht="15.75" customHeight="1">
      <c r="A12" s="105"/>
      <c r="B12" s="128"/>
      <c r="C12" s="105"/>
      <c r="D12" s="121"/>
      <c r="E12" s="105"/>
      <c r="F12" s="142"/>
      <c r="G12" s="142"/>
      <c r="H12" s="142"/>
      <c r="I12" s="142"/>
      <c r="J12" s="142"/>
      <c r="K12" s="142"/>
      <c r="L12" s="142" t="str">
        <f t="shared" si="0"/>
        <v/>
      </c>
      <c r="M12" s="120"/>
    </row>
    <row r="13" spans="1:13" ht="15.75" customHeight="1">
      <c r="A13" s="105"/>
      <c r="B13" s="128"/>
      <c r="C13" s="105"/>
      <c r="D13" s="121"/>
      <c r="E13" s="105"/>
      <c r="F13" s="142"/>
      <c r="G13" s="142"/>
      <c r="H13" s="142"/>
      <c r="I13" s="142"/>
      <c r="J13" s="142"/>
      <c r="K13" s="142"/>
      <c r="L13" s="142" t="str">
        <f t="shared" si="0"/>
        <v/>
      </c>
      <c r="M13" s="120"/>
    </row>
    <row r="14" spans="1:13" ht="15.75" customHeight="1">
      <c r="A14" s="105"/>
      <c r="B14" s="128"/>
      <c r="C14" s="105"/>
      <c r="D14" s="121"/>
      <c r="E14" s="105"/>
      <c r="F14" s="142"/>
      <c r="G14" s="142"/>
      <c r="H14" s="142"/>
      <c r="I14" s="142"/>
      <c r="J14" s="142"/>
      <c r="K14" s="142"/>
      <c r="L14" s="142" t="str">
        <f t="shared" si="0"/>
        <v/>
      </c>
      <c r="M14" s="120"/>
    </row>
    <row r="15" spans="1:13" ht="15.75" customHeight="1">
      <c r="A15" s="105"/>
      <c r="B15" s="128"/>
      <c r="C15" s="105"/>
      <c r="D15" s="121"/>
      <c r="E15" s="105"/>
      <c r="F15" s="142"/>
      <c r="G15" s="142"/>
      <c r="H15" s="142"/>
      <c r="I15" s="142"/>
      <c r="J15" s="142"/>
      <c r="K15" s="142"/>
      <c r="L15" s="142" t="str">
        <f t="shared" si="0"/>
        <v/>
      </c>
      <c r="M15" s="120"/>
    </row>
    <row r="16" spans="1:13" ht="15.75" customHeight="1">
      <c r="A16" s="105"/>
      <c r="B16" s="128"/>
      <c r="C16" s="105"/>
      <c r="D16" s="121"/>
      <c r="E16" s="105"/>
      <c r="F16" s="142"/>
      <c r="G16" s="142"/>
      <c r="H16" s="142"/>
      <c r="I16" s="142"/>
      <c r="J16" s="142"/>
      <c r="K16" s="142"/>
      <c r="L16" s="142" t="str">
        <f t="shared" si="0"/>
        <v/>
      </c>
      <c r="M16" s="120"/>
    </row>
    <row r="17" spans="1:13" ht="15.75" customHeight="1">
      <c r="A17" s="105"/>
      <c r="B17" s="128"/>
      <c r="C17" s="105"/>
      <c r="D17" s="121"/>
      <c r="E17" s="105"/>
      <c r="F17" s="142"/>
      <c r="G17" s="142"/>
      <c r="H17" s="142"/>
      <c r="I17" s="142"/>
      <c r="J17" s="142"/>
      <c r="K17" s="142"/>
      <c r="L17" s="142" t="str">
        <f t="shared" si="0"/>
        <v/>
      </c>
      <c r="M17" s="120"/>
    </row>
    <row r="18" spans="1:13" ht="15.75" customHeight="1">
      <c r="A18" s="105"/>
      <c r="B18" s="128"/>
      <c r="C18" s="105"/>
      <c r="D18" s="121"/>
      <c r="E18" s="105"/>
      <c r="F18" s="142"/>
      <c r="G18" s="142"/>
      <c r="H18" s="142"/>
      <c r="I18" s="142"/>
      <c r="J18" s="142"/>
      <c r="K18" s="142"/>
      <c r="L18" s="142" t="str">
        <f t="shared" si="0"/>
        <v/>
      </c>
      <c r="M18" s="120"/>
    </row>
    <row r="19" spans="1:13" ht="15.75" customHeight="1">
      <c r="A19" s="105"/>
      <c r="B19" s="128"/>
      <c r="C19" s="105"/>
      <c r="D19" s="121"/>
      <c r="E19" s="105"/>
      <c r="F19" s="142"/>
      <c r="G19" s="142"/>
      <c r="H19" s="142"/>
      <c r="I19" s="142"/>
      <c r="J19" s="142"/>
      <c r="K19" s="142"/>
      <c r="L19" s="142" t="str">
        <f t="shared" si="0"/>
        <v/>
      </c>
      <c r="M19" s="120"/>
    </row>
    <row r="20" spans="1:13" ht="15.75" customHeight="1">
      <c r="A20" s="105"/>
      <c r="B20" s="128"/>
      <c r="C20" s="105"/>
      <c r="D20" s="121"/>
      <c r="E20" s="105"/>
      <c r="F20" s="142"/>
      <c r="G20" s="142"/>
      <c r="H20" s="142"/>
      <c r="I20" s="142"/>
      <c r="J20" s="142"/>
      <c r="K20" s="142"/>
      <c r="L20" s="142" t="str">
        <f t="shared" si="0"/>
        <v/>
      </c>
      <c r="M20" s="120"/>
    </row>
    <row r="21" spans="1:13" ht="15.75" customHeight="1">
      <c r="A21" s="105"/>
      <c r="B21" s="128"/>
      <c r="C21" s="105"/>
      <c r="D21" s="121"/>
      <c r="E21" s="105"/>
      <c r="F21" s="142"/>
      <c r="G21" s="142"/>
      <c r="H21" s="142"/>
      <c r="I21" s="142"/>
      <c r="J21" s="142"/>
      <c r="K21" s="142"/>
      <c r="L21" s="142" t="str">
        <f t="shared" si="0"/>
        <v/>
      </c>
      <c r="M21" s="120"/>
    </row>
    <row r="22" spans="1:13" ht="15.75" customHeight="1">
      <c r="A22" s="105"/>
      <c r="B22" s="128"/>
      <c r="C22" s="105"/>
      <c r="D22" s="121"/>
      <c r="E22" s="105"/>
      <c r="F22" s="142"/>
      <c r="G22" s="142"/>
      <c r="H22" s="142"/>
      <c r="I22" s="142"/>
      <c r="J22" s="142"/>
      <c r="K22" s="142"/>
      <c r="L22" s="142" t="str">
        <f t="shared" si="0"/>
        <v/>
      </c>
      <c r="M22" s="120"/>
    </row>
    <row r="23" spans="1:13" ht="15.75" customHeight="1">
      <c r="A23" s="105"/>
      <c r="B23" s="128"/>
      <c r="C23" s="105"/>
      <c r="D23" s="121"/>
      <c r="E23" s="105"/>
      <c r="F23" s="142"/>
      <c r="G23" s="142"/>
      <c r="H23" s="142"/>
      <c r="I23" s="142"/>
      <c r="J23" s="142"/>
      <c r="K23" s="142"/>
      <c r="L23" s="142" t="str">
        <f t="shared" si="0"/>
        <v/>
      </c>
      <c r="M23" s="120"/>
    </row>
    <row r="24" spans="1:13" ht="15.75" customHeight="1">
      <c r="A24" s="105"/>
      <c r="B24" s="128"/>
      <c r="C24" s="105"/>
      <c r="D24" s="121"/>
      <c r="E24" s="105"/>
      <c r="F24" s="142"/>
      <c r="G24" s="142"/>
      <c r="H24" s="142"/>
      <c r="I24" s="142"/>
      <c r="J24" s="142"/>
      <c r="K24" s="142"/>
      <c r="L24" s="142" t="str">
        <f t="shared" si="0"/>
        <v/>
      </c>
      <c r="M24" s="120"/>
    </row>
    <row r="25" spans="1:13" ht="15.75" customHeight="1">
      <c r="A25" s="105"/>
      <c r="B25" s="128"/>
      <c r="C25" s="105"/>
      <c r="D25" s="121"/>
      <c r="E25" s="105"/>
      <c r="F25" s="142"/>
      <c r="G25" s="142"/>
      <c r="H25" s="142"/>
      <c r="I25" s="142"/>
      <c r="J25" s="142"/>
      <c r="K25" s="142"/>
      <c r="L25" s="142" t="str">
        <f t="shared" si="0"/>
        <v/>
      </c>
      <c r="M25" s="120"/>
    </row>
    <row r="26" spans="1:13" ht="15.75" customHeight="1">
      <c r="A26" s="105"/>
      <c r="B26" s="128"/>
      <c r="C26" s="105"/>
      <c r="D26" s="121"/>
      <c r="E26" s="105"/>
      <c r="F26" s="142"/>
      <c r="G26" s="142"/>
      <c r="H26" s="142"/>
      <c r="I26" s="142"/>
      <c r="J26" s="142"/>
      <c r="K26" s="142"/>
      <c r="L26" s="142"/>
      <c r="M26" s="120"/>
    </row>
    <row r="27" spans="1:13" ht="15.75" customHeight="1">
      <c r="A27" s="809" t="s">
        <v>534</v>
      </c>
      <c r="B27" s="810"/>
      <c r="C27" s="105"/>
      <c r="D27" s="121"/>
      <c r="E27" s="105"/>
      <c r="F27" s="142"/>
      <c r="G27" s="142"/>
      <c r="H27" s="142">
        <f>SUM(H6:H26)</f>
        <v>0</v>
      </c>
      <c r="I27" s="142"/>
      <c r="J27" s="142">
        <f>SUM(J6:J26)</f>
        <v>0</v>
      </c>
      <c r="K27" s="142">
        <f>SUM(K6:K26)</f>
        <v>0</v>
      </c>
      <c r="L27" s="142" t="str">
        <f>IF(J27=0,"",(K27-J27)/J27*100)</f>
        <v/>
      </c>
      <c r="M27" s="120"/>
    </row>
    <row r="28" spans="1:13" ht="15.75" customHeight="1">
      <c r="A28" s="101" t="e">
        <f>#REF!&amp;#REF!</f>
        <v>#REF!</v>
      </c>
      <c r="J28" s="115" t="e">
        <f>"评估人员："&amp;#REF!</f>
        <v>#REF!</v>
      </c>
    </row>
    <row r="29" spans="1:13" ht="15.75" customHeight="1">
      <c r="A29" s="101" t="e">
        <f>CONCATENATE(#REF!,#REF!,#REF!,#REF!,#REF!,#REF!,#REF!)</f>
        <v>#REF!</v>
      </c>
    </row>
  </sheetData>
  <mergeCells count="3">
    <mergeCell ref="A2:M2"/>
    <mergeCell ref="A3:M3"/>
    <mergeCell ref="A27:B27"/>
  </mergeCells>
  <phoneticPr fontId="6" type="noConversion"/>
  <hyperlinks>
    <hyperlink ref="A1" location="索引目录!E30" display="其他投资"/>
    <hyperlink ref="B1" location="可供出售金融资产汇总!B8" display="可供出售金融资产-其他投资"/>
  </hyperlinks>
  <printOptions horizontalCentered="1"/>
  <pageMargins left="0.35433070866141736" right="0.35433070866141736" top="0.78740157480314965" bottom="0.78740157480314965" header="1.03" footer="0.51181102362204722"/>
  <pageSetup paperSize="9" scale="90" fitToHeight="0" orientation="landscape" horizontalDpi="4294967292" r:id="rId1"/>
  <headerFooter alignWithMargins="0">
    <oddHeader>&amp;R&amp;"宋体,常规"&amp;10表&amp;"Times New Roman,常规"4-1-3
&amp;"宋体,常规"共&amp;"Times New Roman,常规"&amp;N&amp;"宋体,常规"页第&amp;"Times New Roman,常规"&amp;P&amp;"宋体,常规"页</oddHeader>
  </headerFooter>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N29"/>
  <sheetViews>
    <sheetView workbookViewId="0">
      <selection activeCell="H10" sqref="H10"/>
    </sheetView>
  </sheetViews>
  <sheetFormatPr defaultRowHeight="15.75" customHeight="1" outlineLevelCol="1"/>
  <cols>
    <col min="1" max="1" width="4.375" style="4" customWidth="1"/>
    <col min="2" max="2" width="20" style="4" customWidth="1"/>
    <col min="3" max="3" width="9.5" style="4" customWidth="1"/>
    <col min="4" max="5" width="9" style="4"/>
    <col min="6" max="6" width="9.375" style="4" bestFit="1" customWidth="1"/>
    <col min="7" max="7" width="9.375" style="4" customWidth="1"/>
    <col min="8" max="9" width="13.125" style="4" customWidth="1" outlineLevel="1"/>
    <col min="10" max="11" width="15" style="4" customWidth="1"/>
    <col min="12" max="12" width="11.125" style="4" customWidth="1"/>
    <col min="13" max="13" width="10.625" style="4" customWidth="1"/>
    <col min="14" max="16384" width="9" style="4"/>
  </cols>
  <sheetData>
    <row r="1" spans="1:14" ht="14.25">
      <c r="A1" s="272" t="s">
        <v>130</v>
      </c>
      <c r="B1" s="196" t="s">
        <v>131</v>
      </c>
      <c r="C1" s="1"/>
      <c r="D1" s="1"/>
      <c r="E1" s="1"/>
      <c r="F1" s="1"/>
      <c r="G1" s="1"/>
      <c r="H1" s="1"/>
      <c r="I1" s="1"/>
      <c r="J1" s="1"/>
      <c r="K1" s="1"/>
      <c r="L1" s="1"/>
      <c r="M1" s="1"/>
    </row>
    <row r="2" spans="1:14" s="114" customFormat="1" ht="30" customHeight="1">
      <c r="A2" s="790" t="s">
        <v>887</v>
      </c>
      <c r="B2" s="791"/>
      <c r="C2" s="791"/>
      <c r="D2" s="791"/>
      <c r="E2" s="791"/>
      <c r="F2" s="791"/>
      <c r="G2" s="791"/>
      <c r="H2" s="791"/>
      <c r="I2" s="791"/>
      <c r="J2" s="791"/>
      <c r="K2" s="791"/>
      <c r="L2" s="791"/>
      <c r="M2" s="791"/>
    </row>
    <row r="3" spans="1:14" ht="14.1" customHeight="1">
      <c r="A3" s="792" t="e">
        <f>CONCATENATE(#REF!,#REF!,#REF!,#REF!,#REF!,#REF!,#REF!)</f>
        <v>#REF!</v>
      </c>
      <c r="B3" s="792"/>
      <c r="C3" s="792"/>
      <c r="D3" s="792"/>
      <c r="E3" s="792"/>
      <c r="F3" s="792"/>
      <c r="G3" s="792"/>
      <c r="H3" s="792"/>
      <c r="I3" s="792"/>
      <c r="J3" s="808"/>
      <c r="K3" s="808"/>
      <c r="L3" s="808"/>
      <c r="M3" s="808"/>
      <c r="N3" s="122"/>
    </row>
    <row r="4" spans="1:14" ht="15.75" customHeight="1">
      <c r="A4" s="115" t="e">
        <f>#REF!&amp;#REF!</f>
        <v>#REF!</v>
      </c>
      <c r="M4" s="106" t="s">
        <v>542</v>
      </c>
    </row>
    <row r="5" spans="1:14" s="1" customFormat="1" ht="15.75" customHeight="1">
      <c r="A5" s="2" t="s">
        <v>543</v>
      </c>
      <c r="B5" s="2" t="s">
        <v>544</v>
      </c>
      <c r="C5" s="2" t="s">
        <v>556</v>
      </c>
      <c r="D5" s="2" t="s">
        <v>44</v>
      </c>
      <c r="E5" s="2" t="s">
        <v>545</v>
      </c>
      <c r="F5" s="2" t="s">
        <v>546</v>
      </c>
      <c r="G5" s="2" t="s">
        <v>731</v>
      </c>
      <c r="H5" s="2" t="s">
        <v>426</v>
      </c>
      <c r="I5" s="2" t="s">
        <v>710</v>
      </c>
      <c r="J5" s="2" t="s">
        <v>315</v>
      </c>
      <c r="K5" s="2" t="s">
        <v>547</v>
      </c>
      <c r="L5" s="2" t="s">
        <v>548</v>
      </c>
      <c r="M5" s="2" t="s">
        <v>549</v>
      </c>
    </row>
    <row r="6" spans="1:14" ht="15.75" customHeight="1">
      <c r="A6" s="105"/>
      <c r="B6" s="128"/>
      <c r="C6" s="105"/>
      <c r="D6" s="121"/>
      <c r="E6" s="121"/>
      <c r="F6" s="105"/>
      <c r="G6" s="105"/>
      <c r="H6" s="142"/>
      <c r="I6" s="142"/>
      <c r="J6" s="142"/>
      <c r="K6" s="142"/>
      <c r="L6" s="142" t="str">
        <f t="shared" ref="L6:L27" si="0">IF(J6=0,"",(K6-J6)/J6*100)</f>
        <v/>
      </c>
      <c r="M6" s="120"/>
    </row>
    <row r="7" spans="1:14" ht="15.75" customHeight="1">
      <c r="A7" s="105"/>
      <c r="B7" s="128"/>
      <c r="C7" s="105"/>
      <c r="D7" s="121"/>
      <c r="E7" s="121"/>
      <c r="F7" s="105"/>
      <c r="G7" s="105"/>
      <c r="H7" s="142"/>
      <c r="I7" s="142"/>
      <c r="J7" s="142"/>
      <c r="K7" s="142"/>
      <c r="L7" s="142" t="str">
        <f t="shared" si="0"/>
        <v/>
      </c>
      <c r="M7" s="120"/>
    </row>
    <row r="8" spans="1:14" ht="15.75" customHeight="1">
      <c r="A8" s="105"/>
      <c r="B8" s="128"/>
      <c r="C8" s="105"/>
      <c r="D8" s="121"/>
      <c r="E8" s="121"/>
      <c r="F8" s="105"/>
      <c r="G8" s="105"/>
      <c r="H8" s="142"/>
      <c r="I8" s="142"/>
      <c r="J8" s="142"/>
      <c r="K8" s="142"/>
      <c r="L8" s="142" t="str">
        <f t="shared" si="0"/>
        <v/>
      </c>
      <c r="M8" s="120"/>
    </row>
    <row r="9" spans="1:14" ht="15.75" customHeight="1">
      <c r="A9" s="105"/>
      <c r="B9" s="128"/>
      <c r="C9" s="105"/>
      <c r="D9" s="121"/>
      <c r="E9" s="121"/>
      <c r="F9" s="105"/>
      <c r="G9" s="105"/>
      <c r="H9" s="142"/>
      <c r="I9" s="142"/>
      <c r="J9" s="142"/>
      <c r="K9" s="142"/>
      <c r="L9" s="142" t="str">
        <f t="shared" si="0"/>
        <v/>
      </c>
      <c r="M9" s="120"/>
    </row>
    <row r="10" spans="1:14" ht="15.75" customHeight="1">
      <c r="A10" s="105"/>
      <c r="B10" s="128"/>
      <c r="C10" s="105"/>
      <c r="D10" s="121"/>
      <c r="E10" s="121"/>
      <c r="F10" s="105"/>
      <c r="G10" s="105"/>
      <c r="H10" s="142"/>
      <c r="I10" s="142"/>
      <c r="J10" s="142"/>
      <c r="K10" s="142"/>
      <c r="L10" s="142" t="str">
        <f t="shared" si="0"/>
        <v/>
      </c>
      <c r="M10" s="120"/>
    </row>
    <row r="11" spans="1:14" ht="15.75" customHeight="1">
      <c r="A11" s="105"/>
      <c r="B11" s="128"/>
      <c r="C11" s="105"/>
      <c r="D11" s="121"/>
      <c r="E11" s="121"/>
      <c r="F11" s="105"/>
      <c r="G11" s="105"/>
      <c r="H11" s="142"/>
      <c r="I11" s="142"/>
      <c r="J11" s="142"/>
      <c r="K11" s="142"/>
      <c r="L11" s="142" t="str">
        <f t="shared" si="0"/>
        <v/>
      </c>
      <c r="M11" s="120"/>
    </row>
    <row r="12" spans="1:14" ht="15.75" customHeight="1">
      <c r="A12" s="105"/>
      <c r="B12" s="128"/>
      <c r="C12" s="105"/>
      <c r="D12" s="121"/>
      <c r="E12" s="121"/>
      <c r="F12" s="105"/>
      <c r="G12" s="105"/>
      <c r="H12" s="142"/>
      <c r="I12" s="142"/>
      <c r="J12" s="142"/>
      <c r="K12" s="142"/>
      <c r="L12" s="142" t="str">
        <f t="shared" si="0"/>
        <v/>
      </c>
      <c r="M12" s="120"/>
    </row>
    <row r="13" spans="1:14" ht="15.75" customHeight="1">
      <c r="A13" s="105"/>
      <c r="B13" s="128"/>
      <c r="C13" s="105"/>
      <c r="D13" s="121"/>
      <c r="E13" s="121"/>
      <c r="F13" s="105"/>
      <c r="G13" s="105"/>
      <c r="H13" s="142"/>
      <c r="I13" s="142"/>
      <c r="J13" s="142"/>
      <c r="K13" s="142"/>
      <c r="L13" s="142" t="str">
        <f t="shared" si="0"/>
        <v/>
      </c>
      <c r="M13" s="120"/>
    </row>
    <row r="14" spans="1:14" ht="15.75" customHeight="1">
      <c r="A14" s="105"/>
      <c r="B14" s="128"/>
      <c r="C14" s="105"/>
      <c r="D14" s="121"/>
      <c r="E14" s="121"/>
      <c r="F14" s="105"/>
      <c r="G14" s="105"/>
      <c r="H14" s="142"/>
      <c r="I14" s="142"/>
      <c r="J14" s="142"/>
      <c r="K14" s="142"/>
      <c r="L14" s="142" t="str">
        <f t="shared" si="0"/>
        <v/>
      </c>
      <c r="M14" s="120"/>
    </row>
    <row r="15" spans="1:14" ht="15.75" customHeight="1">
      <c r="A15" s="105"/>
      <c r="B15" s="128"/>
      <c r="C15" s="105"/>
      <c r="D15" s="121"/>
      <c r="E15" s="121"/>
      <c r="F15" s="105"/>
      <c r="G15" s="105"/>
      <c r="H15" s="142"/>
      <c r="I15" s="142"/>
      <c r="J15" s="142"/>
      <c r="K15" s="142"/>
      <c r="L15" s="142" t="str">
        <f t="shared" si="0"/>
        <v/>
      </c>
      <c r="M15" s="120"/>
    </row>
    <row r="16" spans="1:14" ht="15.75" customHeight="1">
      <c r="A16" s="105"/>
      <c r="B16" s="128"/>
      <c r="C16" s="105"/>
      <c r="D16" s="121"/>
      <c r="E16" s="121"/>
      <c r="F16" s="105"/>
      <c r="G16" s="105"/>
      <c r="H16" s="142"/>
      <c r="I16" s="142"/>
      <c r="J16" s="142"/>
      <c r="K16" s="142"/>
      <c r="L16" s="142" t="str">
        <f t="shared" si="0"/>
        <v/>
      </c>
      <c r="M16" s="120"/>
    </row>
    <row r="17" spans="1:13" ht="15.75" customHeight="1">
      <c r="A17" s="105"/>
      <c r="B17" s="128"/>
      <c r="C17" s="105"/>
      <c r="D17" s="121"/>
      <c r="E17" s="121"/>
      <c r="F17" s="105"/>
      <c r="G17" s="105"/>
      <c r="H17" s="142"/>
      <c r="I17" s="142"/>
      <c r="J17" s="142"/>
      <c r="K17" s="142"/>
      <c r="L17" s="142" t="str">
        <f t="shared" si="0"/>
        <v/>
      </c>
      <c r="M17" s="120"/>
    </row>
    <row r="18" spans="1:13" ht="15.75" customHeight="1">
      <c r="A18" s="105"/>
      <c r="B18" s="128"/>
      <c r="C18" s="105"/>
      <c r="D18" s="121"/>
      <c r="E18" s="121"/>
      <c r="F18" s="105"/>
      <c r="G18" s="105"/>
      <c r="H18" s="142"/>
      <c r="I18" s="142"/>
      <c r="J18" s="142"/>
      <c r="K18" s="142"/>
      <c r="L18" s="142" t="str">
        <f t="shared" si="0"/>
        <v/>
      </c>
      <c r="M18" s="120"/>
    </row>
    <row r="19" spans="1:13" ht="15.75" customHeight="1">
      <c r="A19" s="105"/>
      <c r="B19" s="128"/>
      <c r="C19" s="105"/>
      <c r="D19" s="121"/>
      <c r="E19" s="121"/>
      <c r="F19" s="105"/>
      <c r="G19" s="105"/>
      <c r="H19" s="142"/>
      <c r="I19" s="142"/>
      <c r="J19" s="142"/>
      <c r="K19" s="142"/>
      <c r="L19" s="142" t="str">
        <f t="shared" si="0"/>
        <v/>
      </c>
      <c r="M19" s="120"/>
    </row>
    <row r="20" spans="1:13" ht="15.75" customHeight="1">
      <c r="A20" s="105"/>
      <c r="B20" s="128"/>
      <c r="C20" s="105"/>
      <c r="D20" s="121"/>
      <c r="E20" s="121"/>
      <c r="F20" s="105"/>
      <c r="G20" s="105"/>
      <c r="H20" s="142"/>
      <c r="I20" s="142"/>
      <c r="J20" s="142"/>
      <c r="K20" s="142"/>
      <c r="L20" s="142" t="str">
        <f t="shared" si="0"/>
        <v/>
      </c>
      <c r="M20" s="120"/>
    </row>
    <row r="21" spans="1:13" ht="15.75" customHeight="1">
      <c r="A21" s="105"/>
      <c r="B21" s="128"/>
      <c r="C21" s="105"/>
      <c r="D21" s="121"/>
      <c r="E21" s="121"/>
      <c r="F21" s="105"/>
      <c r="G21" s="105"/>
      <c r="H21" s="142"/>
      <c r="I21" s="142"/>
      <c r="J21" s="142"/>
      <c r="K21" s="142"/>
      <c r="L21" s="142" t="str">
        <f t="shared" si="0"/>
        <v/>
      </c>
      <c r="M21" s="120"/>
    </row>
    <row r="22" spans="1:13" ht="15.75" customHeight="1">
      <c r="A22" s="105"/>
      <c r="B22" s="128"/>
      <c r="C22" s="105"/>
      <c r="D22" s="121"/>
      <c r="E22" s="121"/>
      <c r="F22" s="105"/>
      <c r="G22" s="105"/>
      <c r="H22" s="142"/>
      <c r="I22" s="142"/>
      <c r="J22" s="142"/>
      <c r="K22" s="142"/>
      <c r="L22" s="142" t="str">
        <f t="shared" si="0"/>
        <v/>
      </c>
      <c r="M22" s="120"/>
    </row>
    <row r="23" spans="1:13" ht="15.75" customHeight="1">
      <c r="A23" s="105"/>
      <c r="B23" s="128"/>
      <c r="C23" s="105"/>
      <c r="D23" s="121"/>
      <c r="E23" s="121"/>
      <c r="F23" s="105"/>
      <c r="G23" s="105"/>
      <c r="H23" s="142"/>
      <c r="I23" s="142"/>
      <c r="J23" s="142"/>
      <c r="K23" s="142"/>
      <c r="L23" s="142" t="str">
        <f t="shared" si="0"/>
        <v/>
      </c>
      <c r="M23" s="120"/>
    </row>
    <row r="24" spans="1:13" ht="15.75" customHeight="1">
      <c r="A24" s="105"/>
      <c r="B24" s="128"/>
      <c r="C24" s="105"/>
      <c r="D24" s="121"/>
      <c r="E24" s="121"/>
      <c r="F24" s="105"/>
      <c r="G24" s="105"/>
      <c r="H24" s="142"/>
      <c r="I24" s="142"/>
      <c r="J24" s="142"/>
      <c r="K24" s="142"/>
      <c r="L24" s="142" t="str">
        <f t="shared" si="0"/>
        <v/>
      </c>
      <c r="M24" s="120"/>
    </row>
    <row r="25" spans="1:13" ht="15.75" customHeight="1">
      <c r="A25" s="809" t="s">
        <v>550</v>
      </c>
      <c r="B25" s="810"/>
      <c r="C25" s="105"/>
      <c r="D25" s="121"/>
      <c r="E25" s="121"/>
      <c r="F25" s="105"/>
      <c r="G25" s="105"/>
      <c r="H25" s="142">
        <f>SUM(H6:H24)</f>
        <v>0</v>
      </c>
      <c r="I25" s="142"/>
      <c r="J25" s="142">
        <f>SUM(J6:J24)</f>
        <v>0</v>
      </c>
      <c r="K25" s="142">
        <f>SUM(K6:K24)</f>
        <v>0</v>
      </c>
      <c r="L25" s="142" t="str">
        <f t="shared" si="0"/>
        <v/>
      </c>
      <c r="M25" s="120"/>
    </row>
    <row r="26" spans="1:13" ht="15.75" customHeight="1">
      <c r="A26" s="809" t="s">
        <v>557</v>
      </c>
      <c r="B26" s="847"/>
      <c r="C26" s="105"/>
      <c r="D26" s="121"/>
      <c r="E26" s="121"/>
      <c r="F26" s="105"/>
      <c r="G26" s="105"/>
      <c r="H26" s="142"/>
      <c r="I26" s="142"/>
      <c r="J26" s="142">
        <f>H26</f>
        <v>0</v>
      </c>
      <c r="K26" s="142">
        <v>0</v>
      </c>
      <c r="L26" s="142" t="str">
        <f t="shared" si="0"/>
        <v/>
      </c>
      <c r="M26" s="120"/>
    </row>
    <row r="27" spans="1:13" ht="15.75" customHeight="1">
      <c r="A27" s="809" t="s">
        <v>418</v>
      </c>
      <c r="B27" s="810"/>
      <c r="C27" s="105"/>
      <c r="D27" s="121"/>
      <c r="E27" s="121"/>
      <c r="F27" s="105"/>
      <c r="G27" s="105"/>
      <c r="H27" s="142">
        <f>H25-H26</f>
        <v>0</v>
      </c>
      <c r="I27" s="142"/>
      <c r="J27" s="142">
        <f>J25-J26</f>
        <v>0</v>
      </c>
      <c r="K27" s="142">
        <f>K25-K26</f>
        <v>0</v>
      </c>
      <c r="L27" s="142" t="str">
        <f t="shared" si="0"/>
        <v/>
      </c>
      <c r="M27" s="120"/>
    </row>
    <row r="28" spans="1:13" ht="15.75" customHeight="1">
      <c r="A28" s="101" t="e">
        <f>#REF!&amp;#REF!</f>
        <v>#REF!</v>
      </c>
      <c r="J28" s="115" t="e">
        <f>"评估人员："&amp;#REF!</f>
        <v>#REF!</v>
      </c>
    </row>
    <row r="29" spans="1:13" ht="15.75" customHeight="1">
      <c r="A29" s="101" t="e">
        <f>CONCATENATE(#REF!,#REF!,#REF!,#REF!,#REF!,#REF!,#REF!)</f>
        <v>#REF!</v>
      </c>
    </row>
  </sheetData>
  <mergeCells count="5">
    <mergeCell ref="A2:M2"/>
    <mergeCell ref="A3:M3"/>
    <mergeCell ref="A27:B27"/>
    <mergeCell ref="A25:B25"/>
    <mergeCell ref="A26:B26"/>
  </mergeCells>
  <phoneticPr fontId="6" type="noConversion"/>
  <hyperlinks>
    <hyperlink ref="A1" location="索引目录!D31" display="持有至到期投资"/>
    <hyperlink ref="B1" location="长期投资汇总!B7" display="持有至到期投资"/>
  </hyperlinks>
  <printOptions horizontalCentered="1"/>
  <pageMargins left="0.35433070866141736" right="0.35433070866141736" top="0.78740157480314965" bottom="0.78740157480314965" header="1.05" footer="0.51181102362204722"/>
  <pageSetup paperSize="9" scale="88" fitToHeight="0" orientation="landscape" horizontalDpi="4294967292" r:id="rId1"/>
  <headerFooter alignWithMargins="0">
    <oddHeader>&amp;R&amp;"宋体,常规"&amp;10表&amp;"Times New Roman,常规"4-2
&amp;"宋体,常规"共&amp;"Times New Roman,常规"&amp;N&amp;"宋体,常规"页第&amp;"Times New Roman,常规"&amp;P&amp;"宋体,常规"页</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5"/>
  <sheetViews>
    <sheetView workbookViewId="0">
      <selection activeCell="H10" sqref="H10"/>
    </sheetView>
  </sheetViews>
  <sheetFormatPr defaultRowHeight="18" customHeight="1"/>
  <cols>
    <col min="1" max="1" width="17.75" style="66" bestFit="1" customWidth="1"/>
    <col min="2" max="2" width="10.5" style="65" bestFit="1" customWidth="1"/>
    <col min="3" max="3" width="8" style="65" bestFit="1" customWidth="1"/>
    <col min="4" max="4" width="13" style="65" bestFit="1" customWidth="1"/>
    <col min="5" max="5" width="9.625" style="65" bestFit="1" customWidth="1"/>
    <col min="6" max="6" width="18.625" style="65" bestFit="1" customWidth="1"/>
    <col min="7" max="7" width="11.375" style="65" bestFit="1" customWidth="1"/>
    <col min="8" max="8" width="17.25" style="65" bestFit="1" customWidth="1"/>
    <col min="9" max="9" width="22.875" style="65" bestFit="1" customWidth="1"/>
    <col min="10" max="10" width="13.875" style="65" bestFit="1" customWidth="1"/>
    <col min="11" max="11" width="15.5" style="65" bestFit="1" customWidth="1"/>
    <col min="12" max="16384" width="9" style="65"/>
  </cols>
  <sheetData>
    <row r="1" spans="1:12" s="63" customFormat="1" ht="13.5" customHeight="1">
      <c r="A1" s="51" t="s">
        <v>206</v>
      </c>
      <c r="B1" s="62"/>
      <c r="C1" s="62"/>
      <c r="D1" s="62"/>
      <c r="E1" s="62"/>
      <c r="F1" s="62"/>
      <c r="G1" s="62"/>
      <c r="H1" s="62"/>
      <c r="I1" s="62"/>
      <c r="J1" s="62"/>
      <c r="K1" s="62"/>
    </row>
    <row r="2" spans="1:12" s="63" customFormat="1" ht="18" customHeight="1">
      <c r="A2" s="773" t="s">
        <v>135</v>
      </c>
      <c r="B2" s="774"/>
      <c r="C2" s="774"/>
      <c r="D2" s="774"/>
      <c r="E2" s="774"/>
      <c r="F2" s="774"/>
      <c r="G2" s="774"/>
      <c r="H2" s="774"/>
      <c r="I2" s="774"/>
      <c r="J2" s="774"/>
      <c r="K2" s="774"/>
    </row>
    <row r="3" spans="1:12" ht="18" customHeight="1">
      <c r="A3" s="770" t="e">
        <f>CONCATENATE(#REF!,#REF!,#REF!,#REF!,#REF!,#REF!,#REF!)</f>
        <v>#REF!</v>
      </c>
      <c r="B3" s="770"/>
      <c r="C3" s="770"/>
      <c r="D3" s="770"/>
      <c r="E3" s="770"/>
      <c r="F3" s="770"/>
      <c r="G3" s="770"/>
      <c r="H3" s="770"/>
      <c r="I3" s="770"/>
      <c r="J3" s="770"/>
      <c r="K3" s="770"/>
    </row>
    <row r="4" spans="1:12" ht="17.25" customHeight="1" thickBot="1">
      <c r="A4" s="181" t="s">
        <v>403</v>
      </c>
      <c r="B4" s="64"/>
      <c r="C4" s="64"/>
      <c r="D4" s="64"/>
      <c r="E4" s="64"/>
      <c r="F4" s="64"/>
      <c r="G4" s="64"/>
      <c r="H4" s="64"/>
      <c r="I4" s="64"/>
      <c r="K4" s="33" t="s">
        <v>3</v>
      </c>
    </row>
    <row r="5" spans="1:12" s="66" customFormat="1" ht="18" customHeight="1">
      <c r="A5" s="775" t="s">
        <v>207</v>
      </c>
      <c r="B5" s="34" t="s">
        <v>165</v>
      </c>
      <c r="C5" s="743" t="e">
        <f>IF(#REF!="","",#REF!)</f>
        <v>#REF!</v>
      </c>
      <c r="D5" s="744"/>
      <c r="E5" s="744"/>
      <c r="F5" s="744"/>
      <c r="G5" s="745"/>
      <c r="H5" s="777" t="s">
        <v>166</v>
      </c>
      <c r="I5" s="741"/>
      <c r="J5" s="781" t="s">
        <v>167</v>
      </c>
      <c r="K5" s="779"/>
      <c r="L5" s="65"/>
    </row>
    <row r="6" spans="1:12" s="66" customFormat="1" ht="18" customHeight="1">
      <c r="A6" s="776"/>
      <c r="B6" s="35" t="s">
        <v>168</v>
      </c>
      <c r="C6" s="713"/>
      <c r="D6" s="714"/>
      <c r="E6" s="714"/>
      <c r="F6" s="714"/>
      <c r="G6" s="715"/>
      <c r="H6" s="778"/>
      <c r="I6" s="742"/>
      <c r="J6" s="782"/>
      <c r="K6" s="780"/>
      <c r="L6" s="65"/>
    </row>
    <row r="7" spans="1:12" s="66" customFormat="1" ht="18" customHeight="1">
      <c r="A7" s="36" t="s">
        <v>136</v>
      </c>
      <c r="B7" s="746"/>
      <c r="C7" s="714"/>
      <c r="D7" s="714"/>
      <c r="E7" s="715"/>
      <c r="F7" s="37" t="s">
        <v>169</v>
      </c>
      <c r="G7" s="67"/>
      <c r="H7" s="37" t="s">
        <v>137</v>
      </c>
      <c r="I7" s="38"/>
      <c r="J7" s="37" t="s">
        <v>167</v>
      </c>
      <c r="K7" s="68"/>
    </row>
    <row r="8" spans="1:12" s="66" customFormat="1" ht="18" customHeight="1">
      <c r="A8" s="39" t="s">
        <v>170</v>
      </c>
      <c r="B8" s="746"/>
      <c r="C8" s="714"/>
      <c r="D8" s="714"/>
      <c r="E8" s="715"/>
      <c r="F8" s="37" t="s">
        <v>169</v>
      </c>
      <c r="G8" s="67"/>
      <c r="H8" s="37" t="s">
        <v>138</v>
      </c>
      <c r="I8" s="38"/>
      <c r="J8" s="37" t="s">
        <v>167</v>
      </c>
      <c r="K8" s="68"/>
    </row>
    <row r="9" spans="1:12" s="66" customFormat="1" ht="18" customHeight="1">
      <c r="A9" s="39" t="s">
        <v>171</v>
      </c>
      <c r="B9" s="61"/>
      <c r="C9" s="37" t="s">
        <v>172</v>
      </c>
      <c r="D9" s="61"/>
      <c r="E9" s="69" t="s">
        <v>173</v>
      </c>
      <c r="F9" s="713"/>
      <c r="G9" s="715"/>
      <c r="H9" s="37" t="s">
        <v>174</v>
      </c>
      <c r="I9" s="38"/>
      <c r="J9" s="37" t="s">
        <v>167</v>
      </c>
      <c r="K9" s="68"/>
    </row>
    <row r="10" spans="1:12" s="66" customFormat="1" ht="27" customHeight="1">
      <c r="A10" s="36" t="s">
        <v>139</v>
      </c>
      <c r="B10" s="750"/>
      <c r="C10" s="751"/>
      <c r="D10" s="751"/>
      <c r="E10" s="751"/>
      <c r="F10" s="751"/>
      <c r="G10" s="752"/>
      <c r="H10" s="35" t="s">
        <v>140</v>
      </c>
      <c r="I10" s="61"/>
      <c r="J10" s="35" t="s">
        <v>141</v>
      </c>
      <c r="K10" s="70"/>
    </row>
    <row r="11" spans="1:12" ht="18" customHeight="1">
      <c r="A11" s="36" t="s">
        <v>142</v>
      </c>
      <c r="B11" s="40"/>
      <c r="C11" s="37" t="s">
        <v>143</v>
      </c>
      <c r="D11" s="67"/>
      <c r="E11" s="37" t="s">
        <v>144</v>
      </c>
      <c r="F11" s="67"/>
      <c r="G11" s="41" t="s">
        <v>145</v>
      </c>
      <c r="H11" s="40"/>
      <c r="I11" s="41" t="s">
        <v>146</v>
      </c>
      <c r="J11" s="771"/>
      <c r="K11" s="772"/>
    </row>
    <row r="12" spans="1:12" ht="18" customHeight="1">
      <c r="A12" s="39" t="s">
        <v>147</v>
      </c>
      <c r="B12" s="40"/>
      <c r="C12" s="37" t="s">
        <v>148</v>
      </c>
      <c r="D12" s="67"/>
      <c r="E12" s="37" t="s">
        <v>149</v>
      </c>
      <c r="F12" s="67"/>
      <c r="G12" s="41" t="s">
        <v>150</v>
      </c>
      <c r="H12" s="40"/>
      <c r="I12" s="41" t="s">
        <v>151</v>
      </c>
      <c r="J12" s="67"/>
      <c r="K12" s="71"/>
    </row>
    <row r="13" spans="1:12" ht="18" customHeight="1" thickBot="1">
      <c r="A13" s="42" t="s">
        <v>152</v>
      </c>
      <c r="B13" s="72"/>
      <c r="C13" s="43" t="s">
        <v>153</v>
      </c>
      <c r="D13" s="72"/>
      <c r="E13" s="44" t="s">
        <v>347</v>
      </c>
      <c r="F13" s="73"/>
      <c r="G13" s="45" t="s">
        <v>175</v>
      </c>
      <c r="H13" s="747"/>
      <c r="I13" s="748"/>
      <c r="J13" s="748"/>
      <c r="K13" s="749"/>
    </row>
    <row r="14" spans="1:12" s="74" customFormat="1" ht="18" customHeight="1">
      <c r="A14" s="764" t="s">
        <v>400</v>
      </c>
      <c r="B14" s="765"/>
      <c r="C14" s="765"/>
      <c r="D14" s="765"/>
      <c r="E14" s="765"/>
      <c r="F14" s="765"/>
      <c r="G14" s="766"/>
      <c r="H14" s="738" t="s">
        <v>154</v>
      </c>
      <c r="I14" s="740"/>
      <c r="J14" s="738" t="s">
        <v>155</v>
      </c>
      <c r="K14" s="753"/>
    </row>
    <row r="15" spans="1:12" s="74" customFormat="1" ht="18" customHeight="1">
      <c r="A15" s="767"/>
      <c r="B15" s="768"/>
      <c r="C15" s="768"/>
      <c r="D15" s="768"/>
      <c r="E15" s="768"/>
      <c r="F15" s="768"/>
      <c r="G15" s="769"/>
      <c r="H15" s="37" t="s">
        <v>71</v>
      </c>
      <c r="I15" s="37" t="s">
        <v>157</v>
      </c>
      <c r="J15" s="35" t="s">
        <v>156</v>
      </c>
      <c r="K15" s="46" t="s">
        <v>157</v>
      </c>
    </row>
    <row r="16" spans="1:12" s="76" customFormat="1" ht="18" customHeight="1">
      <c r="A16" s="75">
        <v>1</v>
      </c>
      <c r="B16" s="735"/>
      <c r="C16" s="736"/>
      <c r="D16" s="736"/>
      <c r="E16" s="736"/>
      <c r="F16" s="736"/>
      <c r="G16" s="737"/>
      <c r="H16" s="378"/>
      <c r="I16" s="379"/>
      <c r="J16" s="378"/>
      <c r="K16" s="380"/>
    </row>
    <row r="17" spans="1:11" ht="18" customHeight="1">
      <c r="A17" s="75">
        <v>2</v>
      </c>
      <c r="B17" s="735"/>
      <c r="C17" s="736"/>
      <c r="D17" s="736"/>
      <c r="E17" s="736"/>
      <c r="F17" s="736"/>
      <c r="G17" s="737"/>
      <c r="H17" s="378"/>
      <c r="I17" s="379"/>
      <c r="J17" s="378"/>
      <c r="K17" s="380"/>
    </row>
    <row r="18" spans="1:11" ht="18" customHeight="1">
      <c r="A18" s="75">
        <v>3</v>
      </c>
      <c r="B18" s="735"/>
      <c r="C18" s="736"/>
      <c r="D18" s="736"/>
      <c r="E18" s="736"/>
      <c r="F18" s="736"/>
      <c r="G18" s="737"/>
      <c r="H18" s="378"/>
      <c r="I18" s="379"/>
      <c r="J18" s="378"/>
      <c r="K18" s="380"/>
    </row>
    <row r="19" spans="1:11" ht="18" customHeight="1">
      <c r="A19" s="75">
        <v>4</v>
      </c>
      <c r="B19" s="713"/>
      <c r="C19" s="714"/>
      <c r="D19" s="714"/>
      <c r="E19" s="714"/>
      <c r="F19" s="714"/>
      <c r="G19" s="715"/>
      <c r="H19" s="77"/>
      <c r="I19" s="67"/>
      <c r="J19" s="67"/>
      <c r="K19" s="71"/>
    </row>
    <row r="20" spans="1:11" ht="18" customHeight="1">
      <c r="A20" s="75">
        <v>5</v>
      </c>
      <c r="B20" s="713"/>
      <c r="C20" s="714"/>
      <c r="D20" s="714"/>
      <c r="E20" s="714"/>
      <c r="F20" s="714"/>
      <c r="G20" s="715"/>
      <c r="H20" s="77"/>
      <c r="I20" s="67"/>
      <c r="J20" s="67"/>
      <c r="K20" s="71"/>
    </row>
    <row r="21" spans="1:11" ht="18" customHeight="1" thickBot="1">
      <c r="A21" s="47" t="s">
        <v>176</v>
      </c>
      <c r="B21" s="756"/>
      <c r="C21" s="748"/>
      <c r="D21" s="748"/>
      <c r="E21" s="748"/>
      <c r="F21" s="748"/>
      <c r="G21" s="757"/>
      <c r="H21" s="78"/>
      <c r="I21" s="72"/>
      <c r="J21" s="79"/>
      <c r="K21" s="80"/>
    </row>
    <row r="22" spans="1:11" s="74" customFormat="1" ht="18" customHeight="1">
      <c r="A22" s="758" t="s">
        <v>401</v>
      </c>
      <c r="B22" s="739"/>
      <c r="C22" s="739"/>
      <c r="D22" s="739"/>
      <c r="E22" s="740"/>
      <c r="F22" s="738" t="s">
        <v>177</v>
      </c>
      <c r="G22" s="739"/>
      <c r="H22" s="740"/>
      <c r="I22" s="48" t="s">
        <v>178</v>
      </c>
      <c r="J22" s="34" t="s">
        <v>46</v>
      </c>
      <c r="K22" s="49" t="s">
        <v>179</v>
      </c>
    </row>
    <row r="23" spans="1:11" ht="18" customHeight="1">
      <c r="A23" s="75">
        <v>1</v>
      </c>
      <c r="B23" s="732"/>
      <c r="C23" s="711"/>
      <c r="D23" s="711"/>
      <c r="E23" s="712"/>
      <c r="F23" s="713"/>
      <c r="G23" s="714"/>
      <c r="H23" s="715"/>
      <c r="I23" s="67"/>
      <c r="J23" s="381"/>
      <c r="K23" s="50"/>
    </row>
    <row r="24" spans="1:11" ht="18" customHeight="1">
      <c r="A24" s="75">
        <v>2</v>
      </c>
      <c r="B24" s="732"/>
      <c r="C24" s="733"/>
      <c r="D24" s="733"/>
      <c r="E24" s="734"/>
      <c r="F24" s="713"/>
      <c r="G24" s="714"/>
      <c r="H24" s="715"/>
      <c r="I24" s="67"/>
      <c r="J24" s="381"/>
      <c r="K24" s="50"/>
    </row>
    <row r="25" spans="1:11" ht="18" customHeight="1">
      <c r="A25" s="75">
        <v>3</v>
      </c>
      <c r="B25" s="732"/>
      <c r="C25" s="733"/>
      <c r="D25" s="733"/>
      <c r="E25" s="734"/>
      <c r="F25" s="713"/>
      <c r="G25" s="714"/>
      <c r="H25" s="715"/>
      <c r="I25" s="67"/>
      <c r="J25" s="381"/>
      <c r="K25" s="50"/>
    </row>
    <row r="26" spans="1:11" ht="18" customHeight="1">
      <c r="A26" s="75">
        <v>4</v>
      </c>
      <c r="B26" s="732"/>
      <c r="C26" s="733"/>
      <c r="D26" s="733"/>
      <c r="E26" s="734"/>
      <c r="F26" s="713"/>
      <c r="G26" s="714"/>
      <c r="H26" s="715"/>
      <c r="I26" s="67"/>
      <c r="J26" s="381"/>
      <c r="K26" s="50"/>
    </row>
    <row r="27" spans="1:11" ht="18" customHeight="1">
      <c r="A27" s="75">
        <v>5</v>
      </c>
      <c r="B27" s="732"/>
      <c r="C27" s="733"/>
      <c r="D27" s="733"/>
      <c r="E27" s="734"/>
      <c r="F27" s="713"/>
      <c r="G27" s="714"/>
      <c r="H27" s="715"/>
      <c r="I27" s="67"/>
      <c r="J27" s="381"/>
      <c r="K27" s="50"/>
    </row>
    <row r="28" spans="1:11" ht="18" customHeight="1">
      <c r="A28" s="81">
        <v>6</v>
      </c>
      <c r="B28" s="732"/>
      <c r="C28" s="733"/>
      <c r="D28" s="733"/>
      <c r="E28" s="734"/>
      <c r="F28" s="713"/>
      <c r="G28" s="714"/>
      <c r="H28" s="715"/>
      <c r="I28" s="67"/>
      <c r="J28" s="381"/>
      <c r="K28" s="50"/>
    </row>
    <row r="29" spans="1:11" ht="18" customHeight="1">
      <c r="A29" s="81">
        <v>7</v>
      </c>
      <c r="B29" s="710"/>
      <c r="C29" s="711"/>
      <c r="D29" s="711"/>
      <c r="E29" s="712"/>
      <c r="F29" s="713"/>
      <c r="G29" s="714"/>
      <c r="H29" s="715"/>
      <c r="I29" s="82"/>
      <c r="J29" s="381"/>
      <c r="K29" s="50"/>
    </row>
    <row r="30" spans="1:11" ht="18" customHeight="1">
      <c r="A30" s="81">
        <v>8</v>
      </c>
      <c r="B30" s="732"/>
      <c r="C30" s="733"/>
      <c r="D30" s="733"/>
      <c r="E30" s="734"/>
      <c r="F30" s="713"/>
      <c r="G30" s="714"/>
      <c r="H30" s="715"/>
      <c r="I30" s="82"/>
      <c r="J30" s="381"/>
      <c r="K30" s="50"/>
    </row>
    <row r="31" spans="1:11" ht="18" customHeight="1">
      <c r="A31" s="81">
        <v>9</v>
      </c>
      <c r="B31" s="732"/>
      <c r="C31" s="733"/>
      <c r="D31" s="733"/>
      <c r="E31" s="734"/>
      <c r="F31" s="713"/>
      <c r="G31" s="714"/>
      <c r="H31" s="715"/>
      <c r="I31" s="82"/>
      <c r="J31" s="381"/>
      <c r="K31" s="50"/>
    </row>
    <row r="32" spans="1:11" ht="18" customHeight="1">
      <c r="A32" s="81">
        <v>10</v>
      </c>
      <c r="B32" s="710"/>
      <c r="C32" s="711"/>
      <c r="D32" s="711"/>
      <c r="E32" s="712"/>
      <c r="F32" s="713"/>
      <c r="G32" s="714"/>
      <c r="H32" s="715"/>
      <c r="I32" s="82"/>
      <c r="J32" s="381"/>
      <c r="K32" s="50"/>
    </row>
    <row r="33" spans="1:11" ht="18" customHeight="1">
      <c r="A33" s="762" t="s">
        <v>399</v>
      </c>
      <c r="B33" s="763"/>
      <c r="C33" s="747"/>
      <c r="D33" s="748"/>
      <c r="E33" s="748"/>
      <c r="F33" s="748"/>
      <c r="G33" s="748"/>
      <c r="H33" s="748"/>
      <c r="I33" s="748"/>
      <c r="J33" s="748"/>
      <c r="K33" s="749"/>
    </row>
    <row r="34" spans="1:11" ht="18" customHeight="1" thickBot="1">
      <c r="A34" s="730" t="s">
        <v>180</v>
      </c>
      <c r="B34" s="731"/>
      <c r="C34" s="759"/>
      <c r="D34" s="760"/>
      <c r="E34" s="760"/>
      <c r="F34" s="760"/>
      <c r="G34" s="760"/>
      <c r="H34" s="760"/>
      <c r="I34" s="760"/>
      <c r="J34" s="760"/>
      <c r="K34" s="761"/>
    </row>
    <row r="35" spans="1:11" ht="30.75" customHeight="1" thickTop="1" thickBot="1">
      <c r="A35" s="173" t="s">
        <v>404</v>
      </c>
      <c r="B35" s="171"/>
      <c r="C35" s="170"/>
      <c r="D35" s="170"/>
      <c r="E35" s="170"/>
      <c r="F35" s="170"/>
      <c r="G35" s="170"/>
      <c r="H35" s="170"/>
      <c r="I35" s="170"/>
      <c r="J35" s="170"/>
      <c r="K35" s="172"/>
    </row>
    <row r="36" spans="1:11" s="76" customFormat="1" ht="18" customHeight="1" thickTop="1">
      <c r="A36" s="754" t="s">
        <v>158</v>
      </c>
      <c r="B36" s="174" t="s">
        <v>159</v>
      </c>
      <c r="C36" s="716"/>
      <c r="D36" s="716"/>
      <c r="E36" s="716"/>
      <c r="F36" s="175" t="s">
        <v>181</v>
      </c>
      <c r="G36" s="716"/>
      <c r="H36" s="716"/>
      <c r="I36" s="175" t="s">
        <v>182</v>
      </c>
      <c r="J36" s="716"/>
      <c r="K36" s="717"/>
    </row>
    <row r="37" spans="1:11" s="76" customFormat="1" ht="18" customHeight="1">
      <c r="A37" s="755"/>
      <c r="B37" s="37" t="s">
        <v>160</v>
      </c>
      <c r="C37" s="723"/>
      <c r="D37" s="723"/>
      <c r="E37" s="723"/>
      <c r="F37" s="37" t="s">
        <v>183</v>
      </c>
      <c r="G37" s="724"/>
      <c r="H37" s="724"/>
      <c r="I37" s="37" t="s">
        <v>402</v>
      </c>
      <c r="J37" s="718" t="e">
        <f>CONCATENATE(#REF!,#REF!,#REF!,#REF!,#REF!,#REF!)</f>
        <v>#REF!</v>
      </c>
      <c r="K37" s="719"/>
    </row>
    <row r="38" spans="1:11" s="76" customFormat="1" ht="18" customHeight="1">
      <c r="A38" s="755"/>
      <c r="B38" s="37" t="s">
        <v>161</v>
      </c>
      <c r="C38" s="722"/>
      <c r="D38" s="722"/>
      <c r="E38" s="722"/>
      <c r="F38" s="37" t="s">
        <v>184</v>
      </c>
      <c r="G38" s="725" t="e">
        <f>#REF!&amp;""</f>
        <v>#REF!</v>
      </c>
      <c r="H38" s="726"/>
      <c r="I38" s="37" t="s">
        <v>162</v>
      </c>
      <c r="J38" s="720" t="s">
        <v>185</v>
      </c>
      <c r="K38" s="721"/>
    </row>
    <row r="39" spans="1:11" ht="18" customHeight="1">
      <c r="A39" s="176" t="s">
        <v>163</v>
      </c>
      <c r="B39" s="720" t="s">
        <v>186</v>
      </c>
      <c r="C39" s="722"/>
      <c r="D39" s="722"/>
      <c r="E39" s="69"/>
      <c r="F39" s="37" t="s">
        <v>164</v>
      </c>
      <c r="G39" s="707" t="e">
        <f>#REF!&amp;""</f>
        <v>#REF!</v>
      </c>
      <c r="H39" s="708"/>
      <c r="I39" s="708"/>
      <c r="J39" s="708"/>
      <c r="K39" s="709"/>
    </row>
    <row r="40" spans="1:11" ht="18" customHeight="1">
      <c r="A40" s="75"/>
      <c r="B40" s="67"/>
      <c r="C40" s="729" t="s">
        <v>187</v>
      </c>
      <c r="D40" s="723"/>
      <c r="E40" s="729" t="s">
        <v>188</v>
      </c>
      <c r="F40" s="723"/>
      <c r="G40" s="729" t="s">
        <v>189</v>
      </c>
      <c r="H40" s="723"/>
      <c r="I40" s="38" t="s">
        <v>190</v>
      </c>
      <c r="J40" s="38" t="s">
        <v>191</v>
      </c>
      <c r="K40" s="71"/>
    </row>
    <row r="41" spans="1:11" s="83" customFormat="1" ht="18" customHeight="1">
      <c r="A41" s="176" t="s">
        <v>405</v>
      </c>
      <c r="B41" s="182" t="e">
        <f>""&amp;#REF!</f>
        <v>#REF!</v>
      </c>
      <c r="C41" s="729"/>
      <c r="D41" s="723"/>
      <c r="E41" s="723"/>
      <c r="F41" s="723"/>
      <c r="G41" s="723"/>
      <c r="H41" s="723"/>
      <c r="I41" s="61"/>
      <c r="J41" s="61"/>
      <c r="K41" s="71"/>
    </row>
    <row r="42" spans="1:11" s="83" customFormat="1" ht="18" customHeight="1" thickBot="1">
      <c r="A42" s="177" t="s">
        <v>406</v>
      </c>
      <c r="B42" s="178"/>
      <c r="C42" s="727"/>
      <c r="D42" s="728"/>
      <c r="E42" s="727"/>
      <c r="F42" s="728"/>
      <c r="G42" s="728"/>
      <c r="H42" s="728"/>
      <c r="I42" s="179"/>
      <c r="J42" s="179"/>
      <c r="K42" s="180"/>
    </row>
    <row r="43" spans="1:11" s="76" customFormat="1" ht="18" customHeight="1">
      <c r="B43" s="84"/>
      <c r="C43" s="84"/>
      <c r="D43" s="84"/>
      <c r="E43" s="84"/>
      <c r="F43" s="84"/>
      <c r="G43" s="84"/>
      <c r="H43" s="84"/>
      <c r="I43" s="84"/>
      <c r="J43" s="84"/>
      <c r="K43" s="84"/>
    </row>
    <row r="44" spans="1:11" ht="18" customHeight="1">
      <c r="A44" s="65"/>
    </row>
    <row r="45" spans="1:11" ht="18" customHeight="1">
      <c r="D45" s="66"/>
    </row>
  </sheetData>
  <sheetProtection formatCells="0" formatColumns="0" formatRows="0" insertHyperlinks="0" sort="0" autoFilter="0"/>
  <mergeCells count="71">
    <mergeCell ref="A14:G15"/>
    <mergeCell ref="A3:K3"/>
    <mergeCell ref="J11:K11"/>
    <mergeCell ref="A2:K2"/>
    <mergeCell ref="A5:A6"/>
    <mergeCell ref="H5:H6"/>
    <mergeCell ref="K5:K6"/>
    <mergeCell ref="J5:J6"/>
    <mergeCell ref="A36:A38"/>
    <mergeCell ref="B19:G19"/>
    <mergeCell ref="B20:G20"/>
    <mergeCell ref="B21:G21"/>
    <mergeCell ref="A22:E22"/>
    <mergeCell ref="B28:E28"/>
    <mergeCell ref="C33:K33"/>
    <mergeCell ref="B26:E26"/>
    <mergeCell ref="C34:K34"/>
    <mergeCell ref="F27:H27"/>
    <mergeCell ref="F28:H28"/>
    <mergeCell ref="B29:E29"/>
    <mergeCell ref="B30:E30"/>
    <mergeCell ref="B31:E31"/>
    <mergeCell ref="B27:E27"/>
    <mergeCell ref="A33:B33"/>
    <mergeCell ref="B18:G18"/>
    <mergeCell ref="B23:E23"/>
    <mergeCell ref="F22:H22"/>
    <mergeCell ref="I5:I6"/>
    <mergeCell ref="C5:G5"/>
    <mergeCell ref="C6:G6"/>
    <mergeCell ref="B7:E7"/>
    <mergeCell ref="H13:K13"/>
    <mergeCell ref="F23:H23"/>
    <mergeCell ref="B16:G16"/>
    <mergeCell ref="B17:G17"/>
    <mergeCell ref="B8:E8"/>
    <mergeCell ref="B10:G10"/>
    <mergeCell ref="F9:G9"/>
    <mergeCell ref="J14:K14"/>
    <mergeCell ref="H14:I14"/>
    <mergeCell ref="A34:B34"/>
    <mergeCell ref="F24:H24"/>
    <mergeCell ref="F25:H25"/>
    <mergeCell ref="F26:H26"/>
    <mergeCell ref="B24:E24"/>
    <mergeCell ref="B25:E25"/>
    <mergeCell ref="C42:D42"/>
    <mergeCell ref="E42:F42"/>
    <mergeCell ref="G42:H42"/>
    <mergeCell ref="C40:D40"/>
    <mergeCell ref="E40:F40"/>
    <mergeCell ref="G40:H40"/>
    <mergeCell ref="C41:D41"/>
    <mergeCell ref="E41:F41"/>
    <mergeCell ref="G41:H41"/>
    <mergeCell ref="G39:K39"/>
    <mergeCell ref="B32:E32"/>
    <mergeCell ref="F29:H29"/>
    <mergeCell ref="F30:H30"/>
    <mergeCell ref="F31:H31"/>
    <mergeCell ref="F32:H32"/>
    <mergeCell ref="J36:K36"/>
    <mergeCell ref="J37:K37"/>
    <mergeCell ref="J38:K38"/>
    <mergeCell ref="B39:D39"/>
    <mergeCell ref="C36:E36"/>
    <mergeCell ref="C37:E37"/>
    <mergeCell ref="C38:E38"/>
    <mergeCell ref="G36:H36"/>
    <mergeCell ref="G37:H37"/>
    <mergeCell ref="G38:H38"/>
  </mergeCells>
  <phoneticPr fontId="6" type="noConversion"/>
  <hyperlinks>
    <hyperlink ref="A1" location="索引目录!B4" display="基本情况表"/>
  </hyperlinks>
  <printOptions horizontalCentered="1"/>
  <pageMargins left="0.62992125984251968" right="0.23622047244094491" top="0.78740157480314965" bottom="0.78740157480314965" header="0.51181102362204722" footer="0.51181102362204722"/>
  <pageSetup paperSize="9" scale="8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5">
    <pageSetUpPr fitToPage="1"/>
  </sheetPr>
  <dimension ref="A1:J34"/>
  <sheetViews>
    <sheetView workbookViewId="0">
      <selection activeCell="H10" sqref="H10"/>
    </sheetView>
  </sheetViews>
  <sheetFormatPr defaultRowHeight="15.75" customHeight="1" outlineLevelCol="1"/>
  <cols>
    <col min="1" max="1" width="8.25" style="4" customWidth="1"/>
    <col min="2" max="2" width="27.5" style="4" customWidth="1"/>
    <col min="3" max="3" width="21.375" style="4" customWidth="1"/>
    <col min="4" max="4" width="11.5" style="4" customWidth="1"/>
    <col min="5" max="6" width="14.75" style="138" customWidth="1" outlineLevel="1"/>
    <col min="7" max="7" width="14.75" style="4" customWidth="1"/>
    <col min="8" max="8" width="14.375" style="4" customWidth="1"/>
    <col min="9" max="9" width="9.625" style="4" bestFit="1" customWidth="1"/>
    <col min="10" max="10" width="14.75" style="4" customWidth="1"/>
    <col min="11" max="16384" width="9" style="4"/>
  </cols>
  <sheetData>
    <row r="1" spans="1:10" ht="14.25">
      <c r="A1" s="272" t="s">
        <v>130</v>
      </c>
      <c r="B1" s="196" t="s">
        <v>327</v>
      </c>
      <c r="C1" s="1"/>
      <c r="D1" s="1"/>
      <c r="E1" s="1"/>
      <c r="F1" s="1"/>
      <c r="G1" s="1"/>
      <c r="H1" s="1"/>
      <c r="I1" s="1"/>
      <c r="J1" s="1"/>
    </row>
    <row r="2" spans="1:10" s="114" customFormat="1" ht="30" customHeight="1">
      <c r="A2" s="790" t="s">
        <v>886</v>
      </c>
      <c r="B2" s="791"/>
      <c r="C2" s="791"/>
      <c r="D2" s="791"/>
      <c r="E2" s="791"/>
      <c r="F2" s="791"/>
      <c r="G2" s="791"/>
      <c r="H2" s="791"/>
      <c r="I2" s="791"/>
      <c r="J2" s="791"/>
    </row>
    <row r="3" spans="1:10" ht="14.1" customHeight="1">
      <c r="A3" s="792" t="e">
        <f>CONCATENATE(#REF!,#REF!,#REF!,#REF!,#REF!,#REF!,#REF!)</f>
        <v>#REF!</v>
      </c>
      <c r="B3" s="792"/>
      <c r="C3" s="792"/>
      <c r="D3" s="792"/>
      <c r="E3" s="808"/>
      <c r="F3" s="808"/>
      <c r="G3" s="808"/>
      <c r="H3" s="808"/>
      <c r="I3" s="808"/>
      <c r="J3" s="808"/>
    </row>
    <row r="4" spans="1:10" ht="15.75" customHeight="1">
      <c r="A4" s="115" t="e">
        <f>#REF!&amp;#REF!</f>
        <v>#REF!</v>
      </c>
      <c r="E4" s="331"/>
      <c r="F4" s="331"/>
      <c r="J4" s="106" t="s">
        <v>3</v>
      </c>
    </row>
    <row r="5" spans="1:10" s="1" customFormat="1" ht="15.75" customHeight="1">
      <c r="A5" s="2" t="s">
        <v>4</v>
      </c>
      <c r="B5" s="2" t="s">
        <v>51</v>
      </c>
      <c r="C5" s="2" t="s">
        <v>52</v>
      </c>
      <c r="D5" s="2" t="s">
        <v>53</v>
      </c>
      <c r="E5" s="319" t="s">
        <v>426</v>
      </c>
      <c r="F5" s="319" t="s">
        <v>710</v>
      </c>
      <c r="G5" s="2" t="s">
        <v>315</v>
      </c>
      <c r="H5" s="2" t="s">
        <v>0</v>
      </c>
      <c r="I5" s="2" t="s">
        <v>20</v>
      </c>
      <c r="J5" s="2" t="s">
        <v>72</v>
      </c>
    </row>
    <row r="6" spans="1:10" ht="15.75" customHeight="1">
      <c r="A6" s="105"/>
      <c r="B6" s="128"/>
      <c r="C6" s="105"/>
      <c r="D6" s="121"/>
      <c r="E6" s="151"/>
      <c r="F6" s="151"/>
      <c r="G6" s="142"/>
      <c r="H6" s="142"/>
      <c r="I6" s="142" t="str">
        <f t="shared" ref="I6:I27" si="0">IF(G6=0,"",(H6-G6)/G6*100)</f>
        <v/>
      </c>
      <c r="J6" s="120"/>
    </row>
    <row r="7" spans="1:10" ht="15.75" customHeight="1">
      <c r="A7" s="105"/>
      <c r="B7" s="128"/>
      <c r="C7" s="105"/>
      <c r="D7" s="121"/>
      <c r="E7" s="151"/>
      <c r="F7" s="151"/>
      <c r="G7" s="142"/>
      <c r="H7" s="142"/>
      <c r="I7" s="142" t="str">
        <f t="shared" si="0"/>
        <v/>
      </c>
      <c r="J7" s="120"/>
    </row>
    <row r="8" spans="1:10" ht="15.75" customHeight="1">
      <c r="A8" s="105"/>
      <c r="B8" s="128"/>
      <c r="C8" s="105"/>
      <c r="D8" s="121"/>
      <c r="E8" s="151"/>
      <c r="F8" s="151"/>
      <c r="G8" s="142"/>
      <c r="H8" s="142"/>
      <c r="I8" s="142" t="str">
        <f t="shared" si="0"/>
        <v/>
      </c>
      <c r="J8" s="120"/>
    </row>
    <row r="9" spans="1:10" ht="15.75" customHeight="1">
      <c r="A9" s="105"/>
      <c r="B9" s="128"/>
      <c r="C9" s="105"/>
      <c r="D9" s="121"/>
      <c r="E9" s="151"/>
      <c r="F9" s="151"/>
      <c r="G9" s="142"/>
      <c r="H9" s="142"/>
      <c r="I9" s="142" t="str">
        <f t="shared" si="0"/>
        <v/>
      </c>
      <c r="J9" s="120"/>
    </row>
    <row r="10" spans="1:10" ht="15.75" customHeight="1">
      <c r="A10" s="105"/>
      <c r="B10" s="128"/>
      <c r="C10" s="105"/>
      <c r="D10" s="121"/>
      <c r="E10" s="151"/>
      <c r="F10" s="151"/>
      <c r="G10" s="142"/>
      <c r="H10" s="142"/>
      <c r="I10" s="142" t="str">
        <f t="shared" si="0"/>
        <v/>
      </c>
      <c r="J10" s="120"/>
    </row>
    <row r="11" spans="1:10" ht="15.75" customHeight="1">
      <c r="A11" s="105"/>
      <c r="B11" s="128"/>
      <c r="C11" s="105"/>
      <c r="D11" s="121"/>
      <c r="E11" s="151"/>
      <c r="F11" s="151"/>
      <c r="G11" s="142"/>
      <c r="H11" s="142"/>
      <c r="I11" s="142" t="str">
        <f t="shared" si="0"/>
        <v/>
      </c>
      <c r="J11" s="120"/>
    </row>
    <row r="12" spans="1:10" ht="15.75" customHeight="1">
      <c r="A12" s="105"/>
      <c r="B12" s="128"/>
      <c r="C12" s="105"/>
      <c r="D12" s="121"/>
      <c r="E12" s="151"/>
      <c r="F12" s="151"/>
      <c r="G12" s="142"/>
      <c r="H12" s="142"/>
      <c r="I12" s="142" t="str">
        <f t="shared" si="0"/>
        <v/>
      </c>
      <c r="J12" s="120"/>
    </row>
    <row r="13" spans="1:10" ht="15.75" customHeight="1">
      <c r="A13" s="105"/>
      <c r="B13" s="128"/>
      <c r="C13" s="105"/>
      <c r="D13" s="121"/>
      <c r="E13" s="151"/>
      <c r="F13" s="151"/>
      <c r="G13" s="142"/>
      <c r="H13" s="142"/>
      <c r="I13" s="142" t="str">
        <f t="shared" si="0"/>
        <v/>
      </c>
      <c r="J13" s="120"/>
    </row>
    <row r="14" spans="1:10" ht="15.75" customHeight="1">
      <c r="A14" s="105"/>
      <c r="B14" s="128"/>
      <c r="C14" s="105"/>
      <c r="D14" s="121"/>
      <c r="E14" s="151"/>
      <c r="F14" s="151"/>
      <c r="G14" s="142"/>
      <c r="H14" s="142"/>
      <c r="I14" s="142" t="str">
        <f t="shared" si="0"/>
        <v/>
      </c>
      <c r="J14" s="120"/>
    </row>
    <row r="15" spans="1:10" ht="15.75" customHeight="1">
      <c r="A15" s="105"/>
      <c r="B15" s="128"/>
      <c r="C15" s="105"/>
      <c r="D15" s="121"/>
      <c r="E15" s="151"/>
      <c r="F15" s="151"/>
      <c r="G15" s="142"/>
      <c r="H15" s="142"/>
      <c r="I15" s="142" t="str">
        <f t="shared" si="0"/>
        <v/>
      </c>
      <c r="J15" s="120"/>
    </row>
    <row r="16" spans="1:10" ht="15.75" customHeight="1">
      <c r="A16" s="105"/>
      <c r="B16" s="128"/>
      <c r="C16" s="105"/>
      <c r="D16" s="121"/>
      <c r="E16" s="151"/>
      <c r="F16" s="151"/>
      <c r="G16" s="142"/>
      <c r="H16" s="142"/>
      <c r="I16" s="142" t="str">
        <f t="shared" si="0"/>
        <v/>
      </c>
      <c r="J16" s="120"/>
    </row>
    <row r="17" spans="1:10" ht="15.75" customHeight="1">
      <c r="A17" s="105"/>
      <c r="B17" s="128"/>
      <c r="C17" s="105"/>
      <c r="D17" s="121"/>
      <c r="E17" s="151"/>
      <c r="F17" s="151"/>
      <c r="G17" s="142"/>
      <c r="H17" s="142"/>
      <c r="I17" s="142" t="str">
        <f t="shared" si="0"/>
        <v/>
      </c>
      <c r="J17" s="120"/>
    </row>
    <row r="18" spans="1:10" ht="15.75" customHeight="1">
      <c r="A18" s="105"/>
      <c r="B18" s="128"/>
      <c r="C18" s="105"/>
      <c r="D18" s="121"/>
      <c r="E18" s="151"/>
      <c r="F18" s="151"/>
      <c r="G18" s="142"/>
      <c r="H18" s="142"/>
      <c r="I18" s="142" t="str">
        <f t="shared" si="0"/>
        <v/>
      </c>
      <c r="J18" s="120"/>
    </row>
    <row r="19" spans="1:10" ht="15.75" customHeight="1">
      <c r="A19" s="105"/>
      <c r="B19" s="128"/>
      <c r="C19" s="105"/>
      <c r="D19" s="121"/>
      <c r="E19" s="151"/>
      <c r="F19" s="151"/>
      <c r="G19" s="142"/>
      <c r="H19" s="142"/>
      <c r="I19" s="142" t="str">
        <f t="shared" si="0"/>
        <v/>
      </c>
      <c r="J19" s="120"/>
    </row>
    <row r="20" spans="1:10" ht="15.75" customHeight="1">
      <c r="A20" s="105"/>
      <c r="B20" s="128"/>
      <c r="C20" s="105"/>
      <c r="D20" s="121"/>
      <c r="E20" s="151"/>
      <c r="F20" s="151"/>
      <c r="G20" s="142"/>
      <c r="H20" s="142"/>
      <c r="I20" s="142" t="str">
        <f t="shared" si="0"/>
        <v/>
      </c>
      <c r="J20" s="120"/>
    </row>
    <row r="21" spans="1:10" ht="15.75" customHeight="1">
      <c r="A21" s="105"/>
      <c r="B21" s="128"/>
      <c r="C21" s="105"/>
      <c r="D21" s="121"/>
      <c r="E21" s="151"/>
      <c r="F21" s="151"/>
      <c r="G21" s="142"/>
      <c r="H21" s="142"/>
      <c r="I21" s="142" t="str">
        <f t="shared" si="0"/>
        <v/>
      </c>
      <c r="J21" s="120"/>
    </row>
    <row r="22" spans="1:10" ht="15.75" customHeight="1">
      <c r="A22" s="105"/>
      <c r="B22" s="128"/>
      <c r="C22" s="105"/>
      <c r="D22" s="121"/>
      <c r="E22" s="151"/>
      <c r="F22" s="151"/>
      <c r="G22" s="142"/>
      <c r="H22" s="142"/>
      <c r="I22" s="142" t="str">
        <f t="shared" si="0"/>
        <v/>
      </c>
      <c r="J22" s="120"/>
    </row>
    <row r="23" spans="1:10" ht="15.75" customHeight="1">
      <c r="A23" s="105"/>
      <c r="B23" s="128"/>
      <c r="C23" s="105"/>
      <c r="D23" s="121"/>
      <c r="E23" s="151"/>
      <c r="F23" s="151"/>
      <c r="G23" s="142"/>
      <c r="H23" s="142"/>
      <c r="I23" s="142" t="str">
        <f t="shared" si="0"/>
        <v/>
      </c>
      <c r="J23" s="120"/>
    </row>
    <row r="24" spans="1:10" ht="15.75" customHeight="1">
      <c r="A24" s="809" t="s">
        <v>54</v>
      </c>
      <c r="B24" s="810"/>
      <c r="C24" s="105"/>
      <c r="D24" s="121"/>
      <c r="E24" s="151">
        <f>SUM(E6:E23)</f>
        <v>0</v>
      </c>
      <c r="F24" s="151"/>
      <c r="G24" s="142">
        <f>SUM(G6:G23)</f>
        <v>0</v>
      </c>
      <c r="H24" s="142">
        <f>SUM(H6:H23)</f>
        <v>0</v>
      </c>
      <c r="I24" s="142" t="str">
        <f t="shared" si="0"/>
        <v/>
      </c>
      <c r="J24" s="120"/>
    </row>
    <row r="25" spans="1:10" ht="15.75" customHeight="1">
      <c r="A25" s="809" t="s">
        <v>419</v>
      </c>
      <c r="B25" s="810"/>
      <c r="C25" s="105"/>
      <c r="D25" s="121"/>
      <c r="E25" s="151"/>
      <c r="F25" s="151"/>
      <c r="G25" s="142">
        <f>E25</f>
        <v>0</v>
      </c>
      <c r="H25" s="142">
        <v>0</v>
      </c>
      <c r="I25" s="142" t="str">
        <f t="shared" si="0"/>
        <v/>
      </c>
      <c r="J25" s="120"/>
    </row>
    <row r="26" spans="1:10" ht="15.75" customHeight="1">
      <c r="A26" s="809" t="s">
        <v>417</v>
      </c>
      <c r="B26" s="810"/>
      <c r="C26" s="105"/>
      <c r="D26" s="121"/>
      <c r="E26" s="151"/>
      <c r="F26" s="151"/>
      <c r="G26" s="142"/>
      <c r="H26" s="142"/>
      <c r="I26" s="142" t="str">
        <f t="shared" si="0"/>
        <v/>
      </c>
      <c r="J26" s="120"/>
    </row>
    <row r="27" spans="1:10" ht="15.75" customHeight="1">
      <c r="A27" s="809" t="s">
        <v>418</v>
      </c>
      <c r="B27" s="810"/>
      <c r="C27" s="120"/>
      <c r="D27" s="121"/>
      <c r="E27" s="144">
        <f>E24-E25-E26</f>
        <v>0</v>
      </c>
      <c r="F27" s="144"/>
      <c r="G27" s="142">
        <f>G24-G25-G26</f>
        <v>0</v>
      </c>
      <c r="H27" s="142">
        <f>H24-H25-H26</f>
        <v>0</v>
      </c>
      <c r="I27" s="142" t="str">
        <f t="shared" si="0"/>
        <v/>
      </c>
      <c r="J27" s="120"/>
    </row>
    <row r="28" spans="1:10" ht="15.75" customHeight="1">
      <c r="A28" s="101" t="e">
        <f>#REF!&amp;#REF!</f>
        <v>#REF!</v>
      </c>
      <c r="G28" s="115" t="e">
        <f>"评估人员："&amp;#REF!</f>
        <v>#REF!</v>
      </c>
    </row>
    <row r="29" spans="1:10" ht="15.75" customHeight="1">
      <c r="A29" s="101" t="e">
        <f>CONCATENATE(#REF!,#REF!,#REF!,#REF!,#REF!,#REF!,#REF!)</f>
        <v>#REF!</v>
      </c>
    </row>
    <row r="30" spans="1:10" ht="15.75" customHeight="1">
      <c r="B30" s="112" t="s">
        <v>300</v>
      </c>
      <c r="C30" s="3" t="s">
        <v>339</v>
      </c>
    </row>
    <row r="31" spans="1:10" ht="15.75" customHeight="1">
      <c r="B31" s="106" t="s">
        <v>309</v>
      </c>
      <c r="C31" s="4" t="s">
        <v>301</v>
      </c>
    </row>
    <row r="32" spans="1:10" ht="15.75" customHeight="1">
      <c r="C32" s="4" t="s">
        <v>302</v>
      </c>
    </row>
    <row r="33" spans="3:3" ht="15.75" customHeight="1">
      <c r="C33" s="4" t="s">
        <v>78</v>
      </c>
    </row>
    <row r="34" spans="3:3" ht="15.75" customHeight="1">
      <c r="C34" s="4" t="s">
        <v>303</v>
      </c>
    </row>
  </sheetData>
  <mergeCells count="6">
    <mergeCell ref="A27:B27"/>
    <mergeCell ref="A2:J2"/>
    <mergeCell ref="A3:J3"/>
    <mergeCell ref="A24:B24"/>
    <mergeCell ref="A25:B25"/>
    <mergeCell ref="A26:B26"/>
  </mergeCells>
  <phoneticPr fontId="6" type="noConversion"/>
  <hyperlinks>
    <hyperlink ref="A1" location="索引目录!D32" display="长期应收款"/>
    <hyperlink ref="B1" location="长期投资汇总!B8" display="长期应收款"/>
  </hyperlinks>
  <printOptions horizontalCentered="1"/>
  <pageMargins left="0.35433070866141736" right="0.35433070866141736" top="0.78740157480314965" bottom="0.78740157480314965" header="1.03" footer="0.51181102362204722"/>
  <pageSetup paperSize="9" scale="86" fitToHeight="0" orientation="landscape" horizontalDpi="4294967292" r:id="rId1"/>
  <headerFooter alignWithMargins="0">
    <oddHeader>&amp;R&amp;"宋体,常规"&amp;10表&amp;"Times New Roman,常规"3-4
&amp;"宋体,常规"共&amp;"Times New Roman,常规"&amp;N&amp;"宋体,常规"页第&amp;"Times New Roman,常规"&amp;P&amp;"宋体,常规"页</oddHeader>
  </headerFooter>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N29"/>
  <sheetViews>
    <sheetView workbookViewId="0">
      <selection activeCell="H10" sqref="H10"/>
    </sheetView>
  </sheetViews>
  <sheetFormatPr defaultRowHeight="15.75" customHeight="1" outlineLevelCol="1"/>
  <cols>
    <col min="1" max="1" width="4.75" style="4" customWidth="1"/>
    <col min="2" max="2" width="20.375" style="4" customWidth="1"/>
    <col min="3" max="3" width="10" style="4" customWidth="1"/>
    <col min="4" max="4" width="12.875" style="4" customWidth="1"/>
    <col min="5" max="5" width="9.375" style="4" bestFit="1" customWidth="1"/>
    <col min="6" max="6" width="9.375" style="4" customWidth="1"/>
    <col min="7" max="8" width="13.125" style="4" customWidth="1" outlineLevel="1"/>
    <col min="9" max="10" width="15" style="4" customWidth="1"/>
    <col min="11" max="11" width="11.75" style="4" customWidth="1"/>
    <col min="12" max="12" width="14.5" style="4" customWidth="1"/>
    <col min="13" max="16384" width="9" style="4"/>
  </cols>
  <sheetData>
    <row r="1" spans="1:14" ht="14.25">
      <c r="A1" s="272" t="s">
        <v>130</v>
      </c>
      <c r="B1" s="196" t="s">
        <v>131</v>
      </c>
      <c r="C1" s="1"/>
      <c r="D1" s="1"/>
      <c r="E1" s="1"/>
      <c r="F1" s="284"/>
      <c r="G1" s="1"/>
      <c r="H1" s="1"/>
      <c r="I1" s="1"/>
      <c r="J1" s="1"/>
      <c r="K1" s="1"/>
      <c r="L1" s="1"/>
    </row>
    <row r="2" spans="1:14" s="114" customFormat="1" ht="30" customHeight="1">
      <c r="A2" s="790" t="s">
        <v>885</v>
      </c>
      <c r="B2" s="791"/>
      <c r="C2" s="791"/>
      <c r="D2" s="791"/>
      <c r="E2" s="791"/>
      <c r="F2" s="791"/>
      <c r="G2" s="791"/>
      <c r="H2" s="791"/>
      <c r="I2" s="791"/>
      <c r="J2" s="791"/>
      <c r="K2" s="791"/>
      <c r="L2" s="791"/>
    </row>
    <row r="3" spans="1:14" ht="14.1" customHeight="1">
      <c r="A3" s="792" t="e">
        <f>CONCATENATE(#REF!,#REF!,#REF!,#REF!,#REF!,#REF!,#REF!)</f>
        <v>#REF!</v>
      </c>
      <c r="B3" s="792"/>
      <c r="C3" s="792"/>
      <c r="D3" s="792"/>
      <c r="E3" s="792"/>
      <c r="F3" s="792"/>
      <c r="G3" s="792"/>
      <c r="H3" s="792"/>
      <c r="I3" s="792"/>
      <c r="J3" s="808"/>
      <c r="K3" s="808"/>
      <c r="L3" s="808"/>
      <c r="M3" s="122"/>
      <c r="N3" s="122"/>
    </row>
    <row r="4" spans="1:14" ht="15.75" customHeight="1">
      <c r="A4" s="115" t="e">
        <f>#REF!&amp;#REF!</f>
        <v>#REF!</v>
      </c>
      <c r="L4" s="106" t="s">
        <v>3</v>
      </c>
    </row>
    <row r="5" spans="1:14" s="1" customFormat="1" ht="15.75" customHeight="1">
      <c r="A5" s="2" t="s">
        <v>4</v>
      </c>
      <c r="B5" s="2" t="s">
        <v>42</v>
      </c>
      <c r="C5" s="2" t="s">
        <v>44</v>
      </c>
      <c r="D5" s="2" t="s">
        <v>289</v>
      </c>
      <c r="E5" s="2" t="s">
        <v>732</v>
      </c>
      <c r="F5" s="2" t="s">
        <v>731</v>
      </c>
      <c r="G5" s="2" t="s">
        <v>426</v>
      </c>
      <c r="H5" s="2" t="s">
        <v>710</v>
      </c>
      <c r="I5" s="2" t="s">
        <v>315</v>
      </c>
      <c r="J5" s="2" t="s">
        <v>0</v>
      </c>
      <c r="K5" s="2" t="s">
        <v>20</v>
      </c>
      <c r="L5" s="2" t="s">
        <v>72</v>
      </c>
    </row>
    <row r="6" spans="1:14" ht="15.75" customHeight="1">
      <c r="A6" s="105"/>
      <c r="B6" s="128"/>
      <c r="C6" s="121"/>
      <c r="D6" s="105"/>
      <c r="E6" s="105"/>
      <c r="F6" s="105"/>
      <c r="G6" s="142"/>
      <c r="H6" s="142"/>
      <c r="I6" s="142"/>
      <c r="J6" s="142"/>
      <c r="K6" s="142" t="str">
        <f t="shared" ref="K6:K27" si="0">IF(I6=0,"",(J6-I6)/I6*100)</f>
        <v/>
      </c>
      <c r="L6" s="120"/>
    </row>
    <row r="7" spans="1:14" ht="15.75" customHeight="1">
      <c r="A7" s="105"/>
      <c r="B7" s="128"/>
      <c r="C7" s="121"/>
      <c r="D7" s="105"/>
      <c r="E7" s="105"/>
      <c r="F7" s="105"/>
      <c r="G7" s="142"/>
      <c r="H7" s="142"/>
      <c r="I7" s="142"/>
      <c r="J7" s="142"/>
      <c r="K7" s="142" t="str">
        <f t="shared" si="0"/>
        <v/>
      </c>
      <c r="L7" s="120"/>
    </row>
    <row r="8" spans="1:14" ht="15.75" customHeight="1">
      <c r="A8" s="105"/>
      <c r="B8" s="128"/>
      <c r="C8" s="121"/>
      <c r="D8" s="105"/>
      <c r="E8" s="105"/>
      <c r="F8" s="105"/>
      <c r="G8" s="142"/>
      <c r="H8" s="142"/>
      <c r="I8" s="142"/>
      <c r="J8" s="142"/>
      <c r="K8" s="142" t="str">
        <f t="shared" si="0"/>
        <v/>
      </c>
      <c r="L8" s="120"/>
    </row>
    <row r="9" spans="1:14" ht="15.75" customHeight="1">
      <c r="A9" s="105"/>
      <c r="B9" s="128"/>
      <c r="C9" s="121"/>
      <c r="D9" s="105"/>
      <c r="E9" s="105"/>
      <c r="F9" s="105"/>
      <c r="G9" s="142"/>
      <c r="H9" s="142"/>
      <c r="I9" s="142"/>
      <c r="J9" s="142"/>
      <c r="K9" s="142" t="str">
        <f t="shared" si="0"/>
        <v/>
      </c>
      <c r="L9" s="120"/>
    </row>
    <row r="10" spans="1:14" ht="15.75" customHeight="1">
      <c r="A10" s="105"/>
      <c r="B10" s="128"/>
      <c r="C10" s="121"/>
      <c r="D10" s="105"/>
      <c r="E10" s="105"/>
      <c r="F10" s="105"/>
      <c r="G10" s="142"/>
      <c r="H10" s="142"/>
      <c r="I10" s="142"/>
      <c r="J10" s="142"/>
      <c r="K10" s="142" t="str">
        <f t="shared" si="0"/>
        <v/>
      </c>
      <c r="L10" s="120"/>
    </row>
    <row r="11" spans="1:14" ht="15.75" customHeight="1">
      <c r="A11" s="105"/>
      <c r="B11" s="128"/>
      <c r="C11" s="121"/>
      <c r="D11" s="105"/>
      <c r="E11" s="105"/>
      <c r="F11" s="105"/>
      <c r="G11" s="142"/>
      <c r="H11" s="142"/>
      <c r="I11" s="142"/>
      <c r="J11" s="142"/>
      <c r="K11" s="142" t="str">
        <f t="shared" si="0"/>
        <v/>
      </c>
      <c r="L11" s="120"/>
    </row>
    <row r="12" spans="1:14" ht="15.75" customHeight="1">
      <c r="A12" s="105"/>
      <c r="B12" s="128"/>
      <c r="C12" s="121"/>
      <c r="D12" s="105"/>
      <c r="E12" s="105"/>
      <c r="F12" s="105"/>
      <c r="G12" s="142"/>
      <c r="H12" s="142"/>
      <c r="I12" s="142"/>
      <c r="J12" s="142"/>
      <c r="K12" s="142" t="str">
        <f t="shared" si="0"/>
        <v/>
      </c>
      <c r="L12" s="120"/>
    </row>
    <row r="13" spans="1:14" ht="15.75" customHeight="1">
      <c r="A13" s="105"/>
      <c r="B13" s="128"/>
      <c r="C13" s="121"/>
      <c r="D13" s="105"/>
      <c r="E13" s="105"/>
      <c r="F13" s="105"/>
      <c r="G13" s="142"/>
      <c r="H13" s="142"/>
      <c r="I13" s="142"/>
      <c r="J13" s="142"/>
      <c r="K13" s="142" t="str">
        <f t="shared" si="0"/>
        <v/>
      </c>
      <c r="L13" s="120"/>
    </row>
    <row r="14" spans="1:14" ht="15.75" customHeight="1">
      <c r="A14" s="105"/>
      <c r="B14" s="128"/>
      <c r="C14" s="121"/>
      <c r="D14" s="105"/>
      <c r="E14" s="105"/>
      <c r="F14" s="105"/>
      <c r="G14" s="142"/>
      <c r="H14" s="142"/>
      <c r="I14" s="142"/>
      <c r="J14" s="142"/>
      <c r="K14" s="142" t="str">
        <f t="shared" si="0"/>
        <v/>
      </c>
      <c r="L14" s="120"/>
    </row>
    <row r="15" spans="1:14" ht="15.75" customHeight="1">
      <c r="A15" s="105"/>
      <c r="B15" s="128"/>
      <c r="C15" s="121"/>
      <c r="D15" s="105"/>
      <c r="E15" s="105"/>
      <c r="F15" s="105"/>
      <c r="G15" s="142"/>
      <c r="H15" s="142"/>
      <c r="I15" s="142"/>
      <c r="J15" s="142"/>
      <c r="K15" s="142" t="str">
        <f t="shared" si="0"/>
        <v/>
      </c>
      <c r="L15" s="120"/>
    </row>
    <row r="16" spans="1:14" ht="15.75" customHeight="1">
      <c r="A16" s="105"/>
      <c r="B16" s="128"/>
      <c r="C16" s="121"/>
      <c r="D16" s="105"/>
      <c r="E16" s="105"/>
      <c r="F16" s="105"/>
      <c r="G16" s="142"/>
      <c r="H16" s="142"/>
      <c r="I16" s="142"/>
      <c r="J16" s="142"/>
      <c r="K16" s="142" t="str">
        <f t="shared" si="0"/>
        <v/>
      </c>
      <c r="L16" s="120"/>
    </row>
    <row r="17" spans="1:12" ht="15.75" customHeight="1">
      <c r="A17" s="105"/>
      <c r="B17" s="128"/>
      <c r="C17" s="121"/>
      <c r="D17" s="105"/>
      <c r="E17" s="105"/>
      <c r="F17" s="105"/>
      <c r="G17" s="142"/>
      <c r="H17" s="142"/>
      <c r="I17" s="142"/>
      <c r="J17" s="142"/>
      <c r="K17" s="142" t="str">
        <f t="shared" si="0"/>
        <v/>
      </c>
      <c r="L17" s="120"/>
    </row>
    <row r="18" spans="1:12" ht="15.75" customHeight="1">
      <c r="A18" s="105"/>
      <c r="B18" s="128"/>
      <c r="C18" s="121"/>
      <c r="D18" s="105"/>
      <c r="E18" s="105"/>
      <c r="F18" s="105"/>
      <c r="G18" s="142"/>
      <c r="H18" s="142"/>
      <c r="I18" s="142"/>
      <c r="J18" s="142"/>
      <c r="K18" s="142" t="str">
        <f t="shared" si="0"/>
        <v/>
      </c>
      <c r="L18" s="120"/>
    </row>
    <row r="19" spans="1:12" ht="15.75" customHeight="1">
      <c r="A19" s="105"/>
      <c r="B19" s="128"/>
      <c r="C19" s="121"/>
      <c r="D19" s="105"/>
      <c r="E19" s="105"/>
      <c r="F19" s="105"/>
      <c r="G19" s="142"/>
      <c r="H19" s="142"/>
      <c r="I19" s="142"/>
      <c r="J19" s="142"/>
      <c r="K19" s="142" t="str">
        <f t="shared" si="0"/>
        <v/>
      </c>
      <c r="L19" s="120"/>
    </row>
    <row r="20" spans="1:12" ht="15.75" customHeight="1">
      <c r="A20" s="105"/>
      <c r="B20" s="128"/>
      <c r="C20" s="121"/>
      <c r="D20" s="105"/>
      <c r="E20" s="105"/>
      <c r="F20" s="105"/>
      <c r="G20" s="142"/>
      <c r="H20" s="142"/>
      <c r="I20" s="142"/>
      <c r="J20" s="142"/>
      <c r="K20" s="142" t="str">
        <f t="shared" si="0"/>
        <v/>
      </c>
      <c r="L20" s="120"/>
    </row>
    <row r="21" spans="1:12" ht="15.75" customHeight="1">
      <c r="A21" s="105"/>
      <c r="B21" s="128"/>
      <c r="C21" s="121"/>
      <c r="D21" s="105"/>
      <c r="E21" s="105"/>
      <c r="F21" s="105"/>
      <c r="G21" s="142"/>
      <c r="H21" s="142"/>
      <c r="I21" s="142"/>
      <c r="J21" s="142"/>
      <c r="K21" s="142" t="str">
        <f t="shared" si="0"/>
        <v/>
      </c>
      <c r="L21" s="120"/>
    </row>
    <row r="22" spans="1:12" ht="15.75" customHeight="1">
      <c r="A22" s="105"/>
      <c r="B22" s="128"/>
      <c r="C22" s="121"/>
      <c r="D22" s="105"/>
      <c r="E22" s="105"/>
      <c r="F22" s="105"/>
      <c r="G22" s="142"/>
      <c r="H22" s="142"/>
      <c r="I22" s="142"/>
      <c r="J22" s="142"/>
      <c r="K22" s="142" t="str">
        <f t="shared" si="0"/>
        <v/>
      </c>
      <c r="L22" s="120"/>
    </row>
    <row r="23" spans="1:12" ht="15.75" customHeight="1">
      <c r="A23" s="105"/>
      <c r="B23" s="128"/>
      <c r="C23" s="121"/>
      <c r="D23" s="105"/>
      <c r="E23" s="105"/>
      <c r="F23" s="105"/>
      <c r="G23" s="142"/>
      <c r="H23" s="142"/>
      <c r="I23" s="142"/>
      <c r="J23" s="142"/>
      <c r="K23" s="142" t="str">
        <f t="shared" si="0"/>
        <v/>
      </c>
      <c r="L23" s="120"/>
    </row>
    <row r="24" spans="1:12" ht="15.75" customHeight="1">
      <c r="A24" s="105"/>
      <c r="B24" s="128"/>
      <c r="C24" s="121"/>
      <c r="D24" s="105"/>
      <c r="E24" s="105"/>
      <c r="F24" s="105"/>
      <c r="G24" s="142"/>
      <c r="H24" s="142"/>
      <c r="I24" s="142"/>
      <c r="J24" s="142"/>
      <c r="K24" s="142" t="str">
        <f t="shared" si="0"/>
        <v/>
      </c>
      <c r="L24" s="120"/>
    </row>
    <row r="25" spans="1:12" ht="15.75" customHeight="1">
      <c r="A25" s="809" t="s">
        <v>550</v>
      </c>
      <c r="B25" s="810"/>
      <c r="C25" s="105"/>
      <c r="D25" s="121"/>
      <c r="E25" s="121"/>
      <c r="F25" s="121"/>
      <c r="G25" s="142">
        <f>SUM(G6:G24)</f>
        <v>0</v>
      </c>
      <c r="H25" s="142"/>
      <c r="I25" s="142">
        <f>SUM(I6:I24)</f>
        <v>0</v>
      </c>
      <c r="J25" s="142">
        <f>SUM(J6:J24)</f>
        <v>0</v>
      </c>
      <c r="K25" s="142" t="str">
        <f t="shared" si="0"/>
        <v/>
      </c>
      <c r="L25" s="120"/>
    </row>
    <row r="26" spans="1:12" ht="15.75" customHeight="1">
      <c r="A26" s="809" t="s">
        <v>558</v>
      </c>
      <c r="B26" s="847"/>
      <c r="C26" s="105"/>
      <c r="D26" s="121"/>
      <c r="E26" s="121"/>
      <c r="F26" s="121"/>
      <c r="G26" s="142"/>
      <c r="H26" s="142"/>
      <c r="I26" s="142">
        <f>G26</f>
        <v>0</v>
      </c>
      <c r="J26" s="142">
        <v>0</v>
      </c>
      <c r="K26" s="142" t="str">
        <f t="shared" si="0"/>
        <v/>
      </c>
      <c r="L26" s="120"/>
    </row>
    <row r="27" spans="1:12" ht="15.75" customHeight="1">
      <c r="A27" s="809" t="s">
        <v>418</v>
      </c>
      <c r="B27" s="810"/>
      <c r="C27" s="105"/>
      <c r="D27" s="121"/>
      <c r="E27" s="121"/>
      <c r="F27" s="121"/>
      <c r="G27" s="142">
        <f>G25-G26</f>
        <v>0</v>
      </c>
      <c r="H27" s="142"/>
      <c r="I27" s="142">
        <f>I25-I26</f>
        <v>0</v>
      </c>
      <c r="J27" s="142">
        <f>J25-J26</f>
        <v>0</v>
      </c>
      <c r="K27" s="142" t="str">
        <f t="shared" si="0"/>
        <v/>
      </c>
      <c r="L27" s="120"/>
    </row>
    <row r="28" spans="1:12" ht="15.75" customHeight="1">
      <c r="A28" s="101" t="e">
        <f>#REF!&amp;#REF!</f>
        <v>#REF!</v>
      </c>
      <c r="C28" s="132"/>
      <c r="I28" s="129" t="e">
        <f>"评估人员："&amp;#REF!</f>
        <v>#REF!</v>
      </c>
    </row>
    <row r="29" spans="1:12" ht="15.75" customHeight="1">
      <c r="A29" s="101" t="e">
        <f>CONCATENATE(#REF!,#REF!,#REF!,#REF!,#REF!,#REF!,#REF!)</f>
        <v>#REF!</v>
      </c>
    </row>
  </sheetData>
  <mergeCells count="5">
    <mergeCell ref="A2:L2"/>
    <mergeCell ref="A3:L3"/>
    <mergeCell ref="A27:B27"/>
    <mergeCell ref="A25:B25"/>
    <mergeCell ref="A26:B26"/>
  </mergeCells>
  <phoneticPr fontId="6" type="noConversion"/>
  <hyperlinks>
    <hyperlink ref="A1" location="索引目录!D33" display="长期股权投资"/>
    <hyperlink ref="B1" location="长期投资汇总!B9" display="长期股权投资"/>
  </hyperlinks>
  <printOptions horizontalCentered="1"/>
  <pageMargins left="0.35433070866141736" right="0.35433070866141736" top="0.78740157480314965" bottom="0.78740157480314965" header="1.05" footer="0.51181102362204722"/>
  <pageSetup paperSize="9" scale="88" fitToHeight="0" orientation="landscape" horizontalDpi="4294967292" r:id="rId1"/>
  <headerFooter alignWithMargins="0">
    <oddHeader>&amp;R&amp;"宋体,常规"&amp;10表&amp;"Times New Roman,常规"4-4
&amp;"宋体,常规"共&amp;"Times New Roman,常规"&amp;N&amp;"宋体,常规"页第&amp;"Times New Roman,常规"&amp;P&amp;"宋体,常规"页</oddHead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6" enableFormatConditionsCalculation="0">
    <tabColor indexed="14"/>
    <pageSetUpPr fitToPage="1"/>
  </sheetPr>
  <dimension ref="A1:W29"/>
  <sheetViews>
    <sheetView workbookViewId="0">
      <selection activeCell="H10" sqref="H10"/>
    </sheetView>
  </sheetViews>
  <sheetFormatPr defaultRowHeight="15.75" customHeight="1" outlineLevelCol="1"/>
  <cols>
    <col min="1" max="1" width="5.5" style="287" customWidth="1"/>
    <col min="2" max="2" width="7.25" style="287" customWidth="1"/>
    <col min="3" max="4" width="9.125" style="287" customWidth="1"/>
    <col min="5" max="5" width="12.125" style="287" customWidth="1"/>
    <col min="6" max="6" width="5.375" style="287" customWidth="1"/>
    <col min="7" max="7" width="6.375" style="287" customWidth="1"/>
    <col min="8" max="8" width="4.5" style="287" customWidth="1"/>
    <col min="9" max="9" width="7.75" style="287" customWidth="1"/>
    <col min="10" max="10" width="7.25" style="287" customWidth="1"/>
    <col min="11" max="11" width="8.5" style="287" customWidth="1" outlineLevel="1"/>
    <col min="12" max="14" width="8" style="287" customWidth="1" outlineLevel="1"/>
    <col min="15" max="16" width="8" style="287" customWidth="1"/>
    <col min="17" max="17" width="6.5" style="287" customWidth="1"/>
    <col min="18" max="18" width="7.625" style="287" customWidth="1"/>
    <col min="19" max="19" width="7.875" style="287" customWidth="1"/>
    <col min="20" max="20" width="7.75" style="287" bestFit="1" customWidth="1"/>
    <col min="21" max="21" width="7.25" style="287" customWidth="1"/>
    <col min="22" max="22" width="6" style="287" customWidth="1"/>
    <col min="23" max="16384" width="9" style="287"/>
  </cols>
  <sheetData>
    <row r="1" spans="1:23" s="4" customFormat="1" ht="14.25">
      <c r="A1" s="272" t="s">
        <v>130</v>
      </c>
      <c r="B1" s="196" t="s">
        <v>131</v>
      </c>
      <c r="C1" s="1"/>
      <c r="D1" s="1"/>
      <c r="E1" s="1"/>
      <c r="F1" s="1"/>
      <c r="G1" s="284"/>
      <c r="H1" s="1"/>
      <c r="I1" s="1"/>
      <c r="J1" s="1"/>
      <c r="K1" s="1"/>
      <c r="L1" s="1"/>
      <c r="M1" s="1"/>
    </row>
    <row r="2" spans="1:23" s="285" customFormat="1" ht="30" customHeight="1">
      <c r="A2" s="848" t="s">
        <v>733</v>
      </c>
      <c r="B2" s="848"/>
      <c r="C2" s="848"/>
      <c r="D2" s="848"/>
      <c r="E2" s="848"/>
      <c r="F2" s="848"/>
      <c r="G2" s="848"/>
      <c r="H2" s="848"/>
      <c r="I2" s="848"/>
      <c r="J2" s="848"/>
      <c r="K2" s="848"/>
      <c r="L2" s="848"/>
      <c r="M2" s="848"/>
      <c r="N2" s="848"/>
      <c r="O2" s="848"/>
      <c r="P2" s="848"/>
      <c r="Q2" s="848"/>
      <c r="R2" s="848"/>
      <c r="S2" s="848"/>
      <c r="T2" s="848"/>
      <c r="U2" s="848"/>
      <c r="V2" s="848"/>
    </row>
    <row r="3" spans="1:23" s="285" customFormat="1" ht="15.75" customHeight="1">
      <c r="A3" s="863" t="s">
        <v>734</v>
      </c>
      <c r="B3" s="863"/>
      <c r="C3" s="863"/>
      <c r="D3" s="863"/>
      <c r="E3" s="863"/>
      <c r="F3" s="863"/>
      <c r="G3" s="863"/>
      <c r="H3" s="863"/>
      <c r="I3" s="863"/>
      <c r="J3" s="863"/>
      <c r="K3" s="863"/>
      <c r="L3" s="863"/>
      <c r="M3" s="863"/>
      <c r="N3" s="863"/>
      <c r="O3" s="863"/>
      <c r="P3" s="863"/>
      <c r="Q3" s="863"/>
      <c r="R3" s="863"/>
      <c r="S3" s="863"/>
      <c r="T3" s="863"/>
      <c r="U3" s="863"/>
      <c r="V3" s="863"/>
    </row>
    <row r="4" spans="1:23" ht="14.1" customHeight="1">
      <c r="A4" s="849" t="e">
        <f>股权投资!A3</f>
        <v>#REF!</v>
      </c>
      <c r="B4" s="850"/>
      <c r="C4" s="850"/>
      <c r="D4" s="850"/>
      <c r="E4" s="850"/>
      <c r="F4" s="850"/>
      <c r="G4" s="850"/>
      <c r="H4" s="850"/>
      <c r="I4" s="850"/>
      <c r="J4" s="850"/>
      <c r="K4" s="850"/>
      <c r="L4" s="850"/>
      <c r="M4" s="850"/>
      <c r="N4" s="850"/>
      <c r="O4" s="850"/>
      <c r="P4" s="850"/>
      <c r="Q4" s="850"/>
      <c r="R4" s="850"/>
      <c r="S4" s="850"/>
      <c r="T4" s="850"/>
      <c r="U4" s="850"/>
      <c r="V4" s="850"/>
    </row>
    <row r="5" spans="1:23" s="325" customFormat="1" ht="15.75" customHeight="1">
      <c r="A5" s="859" t="s">
        <v>735</v>
      </c>
      <c r="B5" s="859"/>
      <c r="C5" s="859"/>
      <c r="D5" s="859"/>
      <c r="E5" s="859"/>
      <c r="F5" s="859"/>
      <c r="G5" s="859"/>
      <c r="T5" s="855" t="s">
        <v>3</v>
      </c>
      <c r="U5" s="855"/>
      <c r="V5" s="855"/>
    </row>
    <row r="6" spans="1:23" s="291" customFormat="1" ht="15.75" customHeight="1">
      <c r="A6" s="851" t="s">
        <v>4</v>
      </c>
      <c r="B6" s="851" t="s">
        <v>282</v>
      </c>
      <c r="C6" s="853" t="s">
        <v>736</v>
      </c>
      <c r="D6" s="853" t="s">
        <v>947</v>
      </c>
      <c r="E6" s="853" t="s">
        <v>945</v>
      </c>
      <c r="F6" s="851" t="s">
        <v>255</v>
      </c>
      <c r="G6" s="858" t="s">
        <v>326</v>
      </c>
      <c r="H6" s="856" t="s">
        <v>286</v>
      </c>
      <c r="I6" s="856" t="s">
        <v>740</v>
      </c>
      <c r="J6" s="858" t="s">
        <v>287</v>
      </c>
      <c r="K6" s="851" t="s">
        <v>427</v>
      </c>
      <c r="L6" s="852"/>
      <c r="M6" s="860" t="s">
        <v>710</v>
      </c>
      <c r="N6" s="861"/>
      <c r="O6" s="851" t="s">
        <v>706</v>
      </c>
      <c r="P6" s="852"/>
      <c r="Q6" s="851" t="s">
        <v>0</v>
      </c>
      <c r="R6" s="852"/>
      <c r="S6" s="852"/>
      <c r="T6" s="858" t="s">
        <v>20</v>
      </c>
      <c r="U6" s="853" t="s">
        <v>281</v>
      </c>
      <c r="V6" s="858" t="s">
        <v>72</v>
      </c>
      <c r="W6" s="388" t="s">
        <v>946</v>
      </c>
    </row>
    <row r="7" spans="1:23" s="291" customFormat="1" ht="22.5" customHeight="1">
      <c r="A7" s="852"/>
      <c r="B7" s="852"/>
      <c r="C7" s="854"/>
      <c r="D7" s="862"/>
      <c r="E7" s="862"/>
      <c r="F7" s="852"/>
      <c r="G7" s="852"/>
      <c r="H7" s="857"/>
      <c r="I7" s="857"/>
      <c r="J7" s="852"/>
      <c r="K7" s="292" t="s">
        <v>270</v>
      </c>
      <c r="L7" s="288" t="s">
        <v>271</v>
      </c>
      <c r="M7" s="288" t="s">
        <v>270</v>
      </c>
      <c r="N7" s="288" t="s">
        <v>271</v>
      </c>
      <c r="O7" s="292" t="s">
        <v>270</v>
      </c>
      <c r="P7" s="288" t="s">
        <v>271</v>
      </c>
      <c r="Q7" s="288" t="s">
        <v>270</v>
      </c>
      <c r="R7" s="288" t="s">
        <v>272</v>
      </c>
      <c r="S7" s="288" t="s">
        <v>271</v>
      </c>
      <c r="T7" s="852"/>
      <c r="U7" s="854"/>
      <c r="V7" s="852"/>
    </row>
    <row r="8" spans="1:23" ht="15.75" customHeight="1">
      <c r="A8" s="290"/>
      <c r="B8" s="293"/>
      <c r="C8" s="293"/>
      <c r="D8" s="293"/>
      <c r="E8" s="293"/>
      <c r="F8" s="290"/>
      <c r="G8" s="294"/>
      <c r="H8" s="294"/>
      <c r="I8" s="295"/>
      <c r="J8" s="296" t="s">
        <v>70</v>
      </c>
      <c r="K8" s="297"/>
      <c r="L8" s="296"/>
      <c r="M8" s="296"/>
      <c r="N8" s="296"/>
      <c r="O8" s="296"/>
      <c r="P8" s="296"/>
      <c r="Q8" s="296"/>
      <c r="R8" s="298"/>
      <c r="S8" s="296"/>
      <c r="T8" s="142" t="str">
        <f>IF(R8=0,"",(S8-P8)/P8*100)</f>
        <v/>
      </c>
      <c r="U8" s="296"/>
      <c r="V8" s="293"/>
    </row>
    <row r="9" spans="1:23" ht="15.75" customHeight="1">
      <c r="A9" s="290"/>
      <c r="B9" s="293"/>
      <c r="C9" s="293"/>
      <c r="D9" s="293"/>
      <c r="E9" s="293"/>
      <c r="F9" s="290"/>
      <c r="G9" s="294"/>
      <c r="H9" s="294"/>
      <c r="I9" s="295"/>
      <c r="J9" s="296" t="s">
        <v>70</v>
      </c>
      <c r="K9" s="297"/>
      <c r="L9" s="296"/>
      <c r="M9" s="296"/>
      <c r="N9" s="296"/>
      <c r="O9" s="296"/>
      <c r="P9" s="296"/>
      <c r="Q9" s="296"/>
      <c r="R9" s="298"/>
      <c r="S9" s="296"/>
      <c r="T9" s="142" t="str">
        <f t="shared" ref="T9:T24" si="0">IF(R9=0,"",(S9-P9)/P9*100)</f>
        <v/>
      </c>
      <c r="U9" s="296"/>
      <c r="V9" s="293"/>
    </row>
    <row r="10" spans="1:23" ht="15.75" customHeight="1">
      <c r="A10" s="290"/>
      <c r="B10" s="293"/>
      <c r="C10" s="293"/>
      <c r="D10" s="293"/>
      <c r="E10" s="293"/>
      <c r="F10" s="290"/>
      <c r="G10" s="294"/>
      <c r="H10" s="294"/>
      <c r="I10" s="295"/>
      <c r="J10" s="296"/>
      <c r="K10" s="297"/>
      <c r="L10" s="296"/>
      <c r="M10" s="296"/>
      <c r="N10" s="296"/>
      <c r="O10" s="296"/>
      <c r="P10" s="296"/>
      <c r="Q10" s="296"/>
      <c r="R10" s="298"/>
      <c r="S10" s="296"/>
      <c r="T10" s="142" t="str">
        <f t="shared" si="0"/>
        <v/>
      </c>
      <c r="U10" s="296"/>
      <c r="V10" s="293"/>
    </row>
    <row r="11" spans="1:23" ht="15.75" customHeight="1">
      <c r="A11" s="290"/>
      <c r="B11" s="293"/>
      <c r="C11" s="293"/>
      <c r="D11" s="293"/>
      <c r="E11" s="293"/>
      <c r="F11" s="290"/>
      <c r="G11" s="294"/>
      <c r="H11" s="294"/>
      <c r="I11" s="295"/>
      <c r="J11" s="296"/>
      <c r="K11" s="297"/>
      <c r="L11" s="296"/>
      <c r="M11" s="296"/>
      <c r="N11" s="296"/>
      <c r="O11" s="296"/>
      <c r="P11" s="296"/>
      <c r="Q11" s="296"/>
      <c r="R11" s="298"/>
      <c r="S11" s="296"/>
      <c r="T11" s="142" t="str">
        <f t="shared" si="0"/>
        <v/>
      </c>
      <c r="U11" s="296"/>
      <c r="V11" s="293"/>
    </row>
    <row r="12" spans="1:23" ht="15.75" customHeight="1">
      <c r="A12" s="290"/>
      <c r="B12" s="293"/>
      <c r="C12" s="293"/>
      <c r="D12" s="293"/>
      <c r="E12" s="293"/>
      <c r="F12" s="290"/>
      <c r="G12" s="294"/>
      <c r="H12" s="294"/>
      <c r="I12" s="295"/>
      <c r="J12" s="296"/>
      <c r="K12" s="297"/>
      <c r="L12" s="296"/>
      <c r="M12" s="296"/>
      <c r="N12" s="296"/>
      <c r="O12" s="296"/>
      <c r="P12" s="296"/>
      <c r="Q12" s="296"/>
      <c r="R12" s="298"/>
      <c r="S12" s="296"/>
      <c r="T12" s="142" t="str">
        <f t="shared" si="0"/>
        <v/>
      </c>
      <c r="U12" s="296"/>
      <c r="V12" s="293"/>
    </row>
    <row r="13" spans="1:23" ht="15.75" customHeight="1">
      <c r="A13" s="290"/>
      <c r="B13" s="293"/>
      <c r="C13" s="293"/>
      <c r="D13" s="293"/>
      <c r="E13" s="293"/>
      <c r="F13" s="290"/>
      <c r="G13" s="294"/>
      <c r="H13" s="294"/>
      <c r="I13" s="295"/>
      <c r="J13" s="296"/>
      <c r="K13" s="297"/>
      <c r="L13" s="296"/>
      <c r="M13" s="296"/>
      <c r="N13" s="296"/>
      <c r="O13" s="296"/>
      <c r="P13" s="296"/>
      <c r="Q13" s="296"/>
      <c r="R13" s="298"/>
      <c r="S13" s="296"/>
      <c r="T13" s="142" t="str">
        <f t="shared" si="0"/>
        <v/>
      </c>
      <c r="U13" s="296"/>
      <c r="V13" s="293"/>
    </row>
    <row r="14" spans="1:23" ht="15.75" customHeight="1">
      <c r="A14" s="290"/>
      <c r="B14" s="293"/>
      <c r="C14" s="293"/>
      <c r="D14" s="293"/>
      <c r="E14" s="293"/>
      <c r="F14" s="290"/>
      <c r="G14" s="294"/>
      <c r="H14" s="294"/>
      <c r="I14" s="295"/>
      <c r="J14" s="296"/>
      <c r="K14" s="297"/>
      <c r="L14" s="296"/>
      <c r="M14" s="296"/>
      <c r="N14" s="296"/>
      <c r="O14" s="296"/>
      <c r="P14" s="296"/>
      <c r="Q14" s="296"/>
      <c r="R14" s="298"/>
      <c r="S14" s="296"/>
      <c r="T14" s="142" t="str">
        <f t="shared" si="0"/>
        <v/>
      </c>
      <c r="U14" s="296"/>
      <c r="V14" s="293"/>
    </row>
    <row r="15" spans="1:23" ht="15.75" customHeight="1">
      <c r="A15" s="290"/>
      <c r="B15" s="293"/>
      <c r="C15" s="293"/>
      <c r="D15" s="293"/>
      <c r="E15" s="293"/>
      <c r="F15" s="290"/>
      <c r="G15" s="294"/>
      <c r="H15" s="294"/>
      <c r="I15" s="295"/>
      <c r="J15" s="296" t="s">
        <v>70</v>
      </c>
      <c r="K15" s="297"/>
      <c r="L15" s="296"/>
      <c r="M15" s="296"/>
      <c r="N15" s="296"/>
      <c r="O15" s="296"/>
      <c r="P15" s="296"/>
      <c r="Q15" s="296"/>
      <c r="R15" s="298"/>
      <c r="S15" s="296"/>
      <c r="T15" s="142" t="str">
        <f t="shared" si="0"/>
        <v/>
      </c>
      <c r="U15" s="296"/>
      <c r="V15" s="293"/>
    </row>
    <row r="16" spans="1:23" ht="15.75" customHeight="1">
      <c r="A16" s="290"/>
      <c r="B16" s="293"/>
      <c r="C16" s="293"/>
      <c r="D16" s="293"/>
      <c r="E16" s="293"/>
      <c r="F16" s="290"/>
      <c r="G16" s="294"/>
      <c r="H16" s="294"/>
      <c r="I16" s="295"/>
      <c r="J16" s="296" t="s">
        <v>70</v>
      </c>
      <c r="K16" s="297"/>
      <c r="L16" s="296"/>
      <c r="M16" s="296"/>
      <c r="N16" s="296"/>
      <c r="O16" s="296"/>
      <c r="P16" s="296"/>
      <c r="Q16" s="296"/>
      <c r="R16" s="298"/>
      <c r="S16" s="296"/>
      <c r="T16" s="142" t="str">
        <f t="shared" si="0"/>
        <v/>
      </c>
      <c r="U16" s="296"/>
      <c r="V16" s="293"/>
    </row>
    <row r="17" spans="1:22" ht="15.75" customHeight="1">
      <c r="A17" s="290"/>
      <c r="B17" s="293"/>
      <c r="C17" s="293"/>
      <c r="D17" s="293"/>
      <c r="E17" s="293"/>
      <c r="F17" s="290"/>
      <c r="G17" s="294"/>
      <c r="H17" s="294"/>
      <c r="I17" s="295"/>
      <c r="J17" s="296" t="s">
        <v>70</v>
      </c>
      <c r="K17" s="297"/>
      <c r="L17" s="296"/>
      <c r="M17" s="296"/>
      <c r="N17" s="296"/>
      <c r="O17" s="296"/>
      <c r="P17" s="296"/>
      <c r="Q17" s="296"/>
      <c r="R17" s="298"/>
      <c r="S17" s="296"/>
      <c r="T17" s="142" t="str">
        <f t="shared" si="0"/>
        <v/>
      </c>
      <c r="U17" s="296"/>
      <c r="V17" s="293"/>
    </row>
    <row r="18" spans="1:22" ht="15.75" customHeight="1">
      <c r="A18" s="290"/>
      <c r="B18" s="293"/>
      <c r="C18" s="293"/>
      <c r="D18" s="293"/>
      <c r="E18" s="293"/>
      <c r="F18" s="290"/>
      <c r="G18" s="294"/>
      <c r="H18" s="294"/>
      <c r="I18" s="295"/>
      <c r="J18" s="296" t="s">
        <v>70</v>
      </c>
      <c r="K18" s="297"/>
      <c r="L18" s="296"/>
      <c r="M18" s="296"/>
      <c r="N18" s="296"/>
      <c r="O18" s="296"/>
      <c r="P18" s="296"/>
      <c r="Q18" s="296"/>
      <c r="R18" s="298"/>
      <c r="S18" s="296"/>
      <c r="T18" s="142" t="str">
        <f t="shared" si="0"/>
        <v/>
      </c>
      <c r="U18" s="296"/>
      <c r="V18" s="293"/>
    </row>
    <row r="19" spans="1:22" ht="15.75" customHeight="1">
      <c r="A19" s="290"/>
      <c r="B19" s="293"/>
      <c r="C19" s="293"/>
      <c r="D19" s="293"/>
      <c r="E19" s="293"/>
      <c r="F19" s="290"/>
      <c r="G19" s="294"/>
      <c r="H19" s="294"/>
      <c r="I19" s="295"/>
      <c r="J19" s="296" t="s">
        <v>70</v>
      </c>
      <c r="K19" s="297"/>
      <c r="L19" s="296"/>
      <c r="M19" s="296"/>
      <c r="N19" s="296"/>
      <c r="O19" s="296"/>
      <c r="P19" s="296"/>
      <c r="Q19" s="296"/>
      <c r="R19" s="298"/>
      <c r="S19" s="296"/>
      <c r="T19" s="142" t="str">
        <f t="shared" si="0"/>
        <v/>
      </c>
      <c r="U19" s="296"/>
      <c r="V19" s="293"/>
    </row>
    <row r="20" spans="1:22" ht="15.75" customHeight="1">
      <c r="A20" s="290"/>
      <c r="B20" s="293"/>
      <c r="C20" s="293"/>
      <c r="D20" s="293"/>
      <c r="E20" s="293"/>
      <c r="F20" s="290"/>
      <c r="G20" s="294"/>
      <c r="H20" s="294"/>
      <c r="I20" s="295"/>
      <c r="J20" s="296" t="s">
        <v>70</v>
      </c>
      <c r="K20" s="297"/>
      <c r="L20" s="296"/>
      <c r="M20" s="296"/>
      <c r="N20" s="296"/>
      <c r="O20" s="296"/>
      <c r="P20" s="296"/>
      <c r="Q20" s="296"/>
      <c r="R20" s="298"/>
      <c r="S20" s="296"/>
      <c r="T20" s="142" t="str">
        <f t="shared" si="0"/>
        <v/>
      </c>
      <c r="U20" s="296"/>
      <c r="V20" s="293"/>
    </row>
    <row r="21" spans="1:22" ht="15.75" customHeight="1">
      <c r="A21" s="290"/>
      <c r="B21" s="293"/>
      <c r="C21" s="293"/>
      <c r="D21" s="293"/>
      <c r="E21" s="293"/>
      <c r="F21" s="290"/>
      <c r="G21" s="294"/>
      <c r="H21" s="294"/>
      <c r="I21" s="295"/>
      <c r="J21" s="296" t="s">
        <v>70</v>
      </c>
      <c r="K21" s="297"/>
      <c r="L21" s="296"/>
      <c r="M21" s="296"/>
      <c r="N21" s="296"/>
      <c r="O21" s="296"/>
      <c r="P21" s="296"/>
      <c r="Q21" s="296"/>
      <c r="R21" s="298"/>
      <c r="S21" s="296"/>
      <c r="T21" s="142" t="str">
        <f t="shared" si="0"/>
        <v/>
      </c>
      <c r="U21" s="296"/>
      <c r="V21" s="293"/>
    </row>
    <row r="22" spans="1:22" ht="15.75" customHeight="1">
      <c r="A22" s="290"/>
      <c r="B22" s="293"/>
      <c r="C22" s="293"/>
      <c r="D22" s="293"/>
      <c r="E22" s="293"/>
      <c r="F22" s="290"/>
      <c r="G22" s="294"/>
      <c r="H22" s="294"/>
      <c r="I22" s="295"/>
      <c r="J22" s="296" t="s">
        <v>70</v>
      </c>
      <c r="K22" s="297"/>
      <c r="L22" s="296"/>
      <c r="M22" s="296"/>
      <c r="N22" s="296"/>
      <c r="O22" s="296"/>
      <c r="P22" s="296"/>
      <c r="Q22" s="296"/>
      <c r="R22" s="298"/>
      <c r="S22" s="296"/>
      <c r="T22" s="142" t="str">
        <f t="shared" si="0"/>
        <v/>
      </c>
      <c r="U22" s="296"/>
      <c r="V22" s="293"/>
    </row>
    <row r="23" spans="1:22" ht="15.75" customHeight="1">
      <c r="A23" s="290"/>
      <c r="B23" s="293"/>
      <c r="C23" s="293"/>
      <c r="D23" s="293"/>
      <c r="E23" s="293"/>
      <c r="F23" s="290"/>
      <c r="G23" s="294"/>
      <c r="H23" s="294"/>
      <c r="I23" s="295"/>
      <c r="J23" s="296" t="s">
        <v>70</v>
      </c>
      <c r="K23" s="297"/>
      <c r="L23" s="296"/>
      <c r="M23" s="296"/>
      <c r="N23" s="296"/>
      <c r="O23" s="296"/>
      <c r="P23" s="296"/>
      <c r="Q23" s="296"/>
      <c r="R23" s="298"/>
      <c r="S23" s="296"/>
      <c r="T23" s="142" t="str">
        <f t="shared" si="0"/>
        <v/>
      </c>
      <c r="U23" s="296"/>
      <c r="V23" s="293"/>
    </row>
    <row r="24" spans="1:22" ht="15.75" customHeight="1">
      <c r="A24" s="290"/>
      <c r="B24" s="293"/>
      <c r="C24" s="293"/>
      <c r="D24" s="293"/>
      <c r="E24" s="293"/>
      <c r="F24" s="290"/>
      <c r="G24" s="294"/>
      <c r="H24" s="294"/>
      <c r="I24" s="295"/>
      <c r="J24" s="296"/>
      <c r="K24" s="297"/>
      <c r="L24" s="296"/>
      <c r="M24" s="296"/>
      <c r="N24" s="296"/>
      <c r="O24" s="296"/>
      <c r="P24" s="296"/>
      <c r="Q24" s="296"/>
      <c r="R24" s="298"/>
      <c r="S24" s="296"/>
      <c r="T24" s="142" t="str">
        <f t="shared" si="0"/>
        <v/>
      </c>
      <c r="U24" s="296"/>
      <c r="V24" s="293"/>
    </row>
    <row r="25" spans="1:22" ht="15.75" customHeight="1">
      <c r="A25" s="860" t="s">
        <v>54</v>
      </c>
      <c r="B25" s="866"/>
      <c r="C25" s="867"/>
      <c r="D25" s="299"/>
      <c r="E25" s="299"/>
      <c r="F25" s="290"/>
      <c r="G25" s="294"/>
      <c r="H25" s="294"/>
      <c r="I25" s="295"/>
      <c r="J25" s="296" t="s">
        <v>70</v>
      </c>
      <c r="K25" s="297">
        <f>SUM(K8:K24)</f>
        <v>0</v>
      </c>
      <c r="L25" s="297">
        <f t="shared" ref="L25:S25" si="1">SUM(L8:L24)</f>
        <v>0</v>
      </c>
      <c r="M25" s="297">
        <f t="shared" si="1"/>
        <v>0</v>
      </c>
      <c r="N25" s="297">
        <f t="shared" si="1"/>
        <v>0</v>
      </c>
      <c r="O25" s="297">
        <f t="shared" si="1"/>
        <v>0</v>
      </c>
      <c r="P25" s="297">
        <f t="shared" si="1"/>
        <v>0</v>
      </c>
      <c r="Q25" s="297">
        <f t="shared" si="1"/>
        <v>0</v>
      </c>
      <c r="R25" s="297"/>
      <c r="S25" s="297">
        <f t="shared" si="1"/>
        <v>0</v>
      </c>
      <c r="T25" s="142" t="str">
        <f>IF(R25=0,"",(S25-P25)/P25*100)</f>
        <v/>
      </c>
      <c r="U25" s="296"/>
      <c r="V25" s="293"/>
    </row>
    <row r="26" spans="1:22" ht="15.75" customHeight="1">
      <c r="A26" s="860" t="s">
        <v>561</v>
      </c>
      <c r="B26" s="864"/>
      <c r="C26" s="865"/>
      <c r="D26" s="292"/>
      <c r="E26" s="292"/>
      <c r="F26" s="290"/>
      <c r="G26" s="294"/>
      <c r="H26" s="294"/>
      <c r="I26" s="295"/>
      <c r="J26" s="296"/>
      <c r="K26" s="297"/>
      <c r="L26" s="296"/>
      <c r="M26" s="296"/>
      <c r="N26" s="296"/>
      <c r="O26" s="296"/>
      <c r="P26" s="296"/>
      <c r="Q26" s="296"/>
      <c r="R26" s="298"/>
      <c r="S26" s="296"/>
      <c r="T26" s="296" t="s">
        <v>70</v>
      </c>
      <c r="U26" s="296"/>
      <c r="V26" s="293"/>
    </row>
    <row r="27" spans="1:22" ht="15.75" customHeight="1">
      <c r="A27" s="860" t="s">
        <v>738</v>
      </c>
      <c r="B27" s="864"/>
      <c r="C27" s="865"/>
      <c r="D27" s="292"/>
      <c r="E27" s="292"/>
      <c r="F27" s="290"/>
      <c r="G27" s="294"/>
      <c r="H27" s="294"/>
      <c r="I27" s="301"/>
      <c r="J27" s="296"/>
      <c r="K27" s="297">
        <f>K25-K26</f>
        <v>0</v>
      </c>
      <c r="L27" s="297">
        <f t="shared" ref="L27:S27" si="2">L25-L26</f>
        <v>0</v>
      </c>
      <c r="M27" s="297">
        <f t="shared" si="2"/>
        <v>0</v>
      </c>
      <c r="N27" s="297">
        <f t="shared" si="2"/>
        <v>0</v>
      </c>
      <c r="O27" s="297">
        <f t="shared" si="2"/>
        <v>0</v>
      </c>
      <c r="P27" s="297">
        <f t="shared" si="2"/>
        <v>0</v>
      </c>
      <c r="Q27" s="297">
        <f t="shared" si="2"/>
        <v>0</v>
      </c>
      <c r="R27" s="297"/>
      <c r="S27" s="297">
        <f t="shared" si="2"/>
        <v>0</v>
      </c>
      <c r="T27" s="142" t="str">
        <f>IF(R27=0,"",(S27-P27)/P27*100)</f>
        <v/>
      </c>
      <c r="U27" s="296"/>
      <c r="V27" s="293"/>
    </row>
    <row r="28" spans="1:22" ht="15.75" customHeight="1">
      <c r="A28" s="101" t="e">
        <f>#REF!&amp;#REF!</f>
        <v>#REF!</v>
      </c>
      <c r="B28" s="129"/>
      <c r="C28" s="129"/>
      <c r="D28" s="129"/>
      <c r="E28" s="129"/>
      <c r="O28" s="129" t="e">
        <f>"评估人员："&amp;#REF!</f>
        <v>#REF!</v>
      </c>
    </row>
    <row r="29" spans="1:22" ht="15.75" customHeight="1">
      <c r="A29" s="101" t="e">
        <f>CONCATENATE(#REF!,#REF!,#REF!,#REF!,#REF!,#REF!,#REF!)</f>
        <v>#REF!</v>
      </c>
    </row>
  </sheetData>
  <mergeCells count="25">
    <mergeCell ref="E6:E7"/>
    <mergeCell ref="U6:U7"/>
    <mergeCell ref="Q6:S6"/>
    <mergeCell ref="A3:V3"/>
    <mergeCell ref="A27:C27"/>
    <mergeCell ref="A25:C25"/>
    <mergeCell ref="A26:C26"/>
    <mergeCell ref="J6:J7"/>
    <mergeCell ref="D6:D7"/>
    <mergeCell ref="A2:V2"/>
    <mergeCell ref="A4:V4"/>
    <mergeCell ref="A6:A7"/>
    <mergeCell ref="B6:B7"/>
    <mergeCell ref="C6:C7"/>
    <mergeCell ref="T5:V5"/>
    <mergeCell ref="F6:F7"/>
    <mergeCell ref="H6:H7"/>
    <mergeCell ref="G6:G7"/>
    <mergeCell ref="A5:G5"/>
    <mergeCell ref="I6:I7"/>
    <mergeCell ref="T6:T7"/>
    <mergeCell ref="K6:L6"/>
    <mergeCell ref="M6:N6"/>
    <mergeCell ref="O6:P6"/>
    <mergeCell ref="V6:V7"/>
  </mergeCells>
  <phoneticPr fontId="6" type="noConversion"/>
  <hyperlinks>
    <hyperlink ref="A1" location="索引目录!D33" display="长期股权投资"/>
    <hyperlink ref="B1" location="长期投资汇总!B9" display="长期股权投资"/>
  </hyperlinks>
  <printOptions horizontalCentered="1"/>
  <pageMargins left="0.35433070866141736" right="0.35433070866141736" top="0.78740157480314965" bottom="0.78740157480314965" header="1.1499999999999999" footer="0.51181102362204722"/>
  <pageSetup paperSize="9" scale="79" fitToHeight="0" orientation="landscape" horizontalDpi="4294967292" r:id="rId1"/>
  <headerFooter alignWithMargins="0">
    <oddHeader>&amp;R&amp;"宋体,常规"&amp;10表&amp;"Times New Roman,常规"4-5-1
&amp;"宋体,常规"共&amp;"Times New Roman,常规"&amp;N&amp;"宋体,常规"页第&amp;"Times New Roman,常规"&amp;P&amp;"宋体,常规"页</oddHeader>
  </headerFooter>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9" enableFormatConditionsCalculation="0">
    <tabColor indexed="14"/>
    <pageSetUpPr fitToPage="1"/>
  </sheetPr>
  <dimension ref="A1:U29"/>
  <sheetViews>
    <sheetView workbookViewId="0">
      <selection activeCell="H10" sqref="H10"/>
    </sheetView>
  </sheetViews>
  <sheetFormatPr defaultRowHeight="12.75" outlineLevelCol="1"/>
  <cols>
    <col min="1" max="1" width="5" style="287" customWidth="1"/>
    <col min="2" max="2" width="8.125" style="287" customWidth="1"/>
    <col min="3" max="4" width="9.5" style="287" customWidth="1"/>
    <col min="5" max="5" width="12.125" style="287" customWidth="1"/>
    <col min="6" max="7" width="5.375" style="287" customWidth="1"/>
    <col min="8" max="8" width="4.5" style="287" customWidth="1"/>
    <col min="9" max="9" width="6.875" style="287" customWidth="1"/>
    <col min="10" max="10" width="7.125" style="287" customWidth="1"/>
    <col min="11" max="11" width="7.625" style="287" customWidth="1"/>
    <col min="12" max="12" width="5.25" style="287" customWidth="1"/>
    <col min="13" max="14" width="11.125" style="287" customWidth="1" outlineLevel="1"/>
    <col min="15" max="17" width="12" style="287" customWidth="1"/>
    <col min="18" max="18" width="7.25" style="287" customWidth="1"/>
    <col min="19" max="19" width="7.5" style="287" customWidth="1"/>
    <col min="20" max="20" width="15.25" style="287" customWidth="1" outlineLevel="1"/>
    <col min="21" max="21" width="13.125" style="287" customWidth="1" outlineLevel="1"/>
    <col min="22" max="16384" width="9" style="287"/>
  </cols>
  <sheetData>
    <row r="1" spans="1:21" s="4" customFormat="1" ht="14.25">
      <c r="A1" s="272" t="s">
        <v>130</v>
      </c>
      <c r="B1" s="196" t="s">
        <v>131</v>
      </c>
      <c r="C1" s="1"/>
      <c r="D1" s="1"/>
      <c r="E1" s="1"/>
      <c r="F1" s="1"/>
      <c r="G1" s="1"/>
      <c r="H1" s="1"/>
      <c r="I1" s="1"/>
      <c r="J1" s="1"/>
      <c r="K1" s="1"/>
      <c r="L1" s="1"/>
      <c r="M1" s="1"/>
    </row>
    <row r="2" spans="1:21" s="285" customFormat="1" ht="30" customHeight="1">
      <c r="A2" s="848" t="s">
        <v>741</v>
      </c>
      <c r="B2" s="848"/>
      <c r="C2" s="848"/>
      <c r="D2" s="848"/>
      <c r="E2" s="848"/>
      <c r="F2" s="848"/>
      <c r="G2" s="848"/>
      <c r="H2" s="848"/>
      <c r="I2" s="848"/>
      <c r="J2" s="848"/>
      <c r="K2" s="848"/>
      <c r="L2" s="848"/>
      <c r="M2" s="848"/>
      <c r="N2" s="848"/>
      <c r="O2" s="848"/>
      <c r="P2" s="848"/>
      <c r="Q2" s="848"/>
      <c r="R2" s="848"/>
      <c r="S2" s="848"/>
      <c r="T2" s="302"/>
    </row>
    <row r="3" spans="1:21" s="285" customFormat="1" ht="15.75" customHeight="1">
      <c r="A3" s="863" t="s">
        <v>742</v>
      </c>
      <c r="B3" s="863"/>
      <c r="C3" s="863"/>
      <c r="D3" s="863"/>
      <c r="E3" s="863"/>
      <c r="F3" s="863"/>
      <c r="G3" s="863"/>
      <c r="H3" s="863"/>
      <c r="I3" s="863"/>
      <c r="J3" s="863"/>
      <c r="K3" s="863"/>
      <c r="L3" s="863"/>
      <c r="M3" s="863"/>
      <c r="N3" s="863"/>
      <c r="O3" s="863"/>
      <c r="P3" s="863"/>
      <c r="Q3" s="863"/>
      <c r="R3" s="863"/>
      <c r="S3" s="863"/>
      <c r="T3" s="302"/>
    </row>
    <row r="4" spans="1:21" ht="14.1" customHeight="1">
      <c r="A4" s="849" t="e">
        <f>'4-5-1投资性房地产'!A4:V4</f>
        <v>#REF!</v>
      </c>
      <c r="B4" s="850"/>
      <c r="C4" s="850"/>
      <c r="D4" s="850"/>
      <c r="E4" s="850"/>
      <c r="F4" s="850"/>
      <c r="G4" s="850"/>
      <c r="H4" s="850"/>
      <c r="I4" s="850"/>
      <c r="J4" s="850"/>
      <c r="K4" s="850"/>
      <c r="L4" s="850"/>
      <c r="M4" s="850"/>
      <c r="N4" s="850"/>
      <c r="O4" s="850"/>
      <c r="P4" s="850"/>
      <c r="Q4" s="850"/>
      <c r="R4" s="850"/>
      <c r="S4" s="850"/>
      <c r="T4" s="303"/>
    </row>
    <row r="5" spans="1:21" s="325" customFormat="1" ht="15.75" customHeight="1">
      <c r="A5" s="870" t="s">
        <v>743</v>
      </c>
      <c r="B5" s="870"/>
      <c r="C5" s="870"/>
      <c r="D5" s="870"/>
      <c r="E5" s="870"/>
      <c r="F5" s="870"/>
      <c r="G5" s="870"/>
      <c r="H5" s="870"/>
      <c r="S5" s="326" t="s">
        <v>744</v>
      </c>
    </row>
    <row r="6" spans="1:21" s="291" customFormat="1" ht="15.75" customHeight="1">
      <c r="A6" s="851" t="s">
        <v>745</v>
      </c>
      <c r="B6" s="851" t="s">
        <v>746</v>
      </c>
      <c r="C6" s="853" t="s">
        <v>747</v>
      </c>
      <c r="D6" s="853" t="s">
        <v>947</v>
      </c>
      <c r="E6" s="853" t="s">
        <v>748</v>
      </c>
      <c r="F6" s="851" t="s">
        <v>749</v>
      </c>
      <c r="G6" s="858" t="s">
        <v>750</v>
      </c>
      <c r="H6" s="856" t="s">
        <v>751</v>
      </c>
      <c r="I6" s="856" t="s">
        <v>752</v>
      </c>
      <c r="J6" s="858" t="s">
        <v>753</v>
      </c>
      <c r="K6" s="875" t="s">
        <v>754</v>
      </c>
      <c r="L6" s="876"/>
      <c r="M6" s="853" t="s">
        <v>427</v>
      </c>
      <c r="N6" s="853" t="s">
        <v>710</v>
      </c>
      <c r="O6" s="853" t="s">
        <v>755</v>
      </c>
      <c r="P6" s="871" t="s">
        <v>756</v>
      </c>
      <c r="Q6" s="871" t="s">
        <v>757</v>
      </c>
      <c r="R6" s="858" t="s">
        <v>758</v>
      </c>
      <c r="S6" s="858" t="s">
        <v>759</v>
      </c>
      <c r="T6" s="873" t="s">
        <v>760</v>
      </c>
      <c r="U6" s="851" t="s">
        <v>761</v>
      </c>
    </row>
    <row r="7" spans="1:21" s="291" customFormat="1" ht="24.75" customHeight="1">
      <c r="A7" s="852"/>
      <c r="B7" s="852"/>
      <c r="C7" s="854"/>
      <c r="D7" s="862"/>
      <c r="E7" s="862"/>
      <c r="F7" s="852"/>
      <c r="G7" s="852"/>
      <c r="H7" s="857"/>
      <c r="I7" s="857"/>
      <c r="J7" s="852"/>
      <c r="K7" s="877"/>
      <c r="L7" s="878"/>
      <c r="M7" s="862"/>
      <c r="N7" s="862"/>
      <c r="O7" s="862"/>
      <c r="P7" s="872"/>
      <c r="Q7" s="872"/>
      <c r="R7" s="852"/>
      <c r="S7" s="852"/>
      <c r="T7" s="874"/>
      <c r="U7" s="852"/>
    </row>
    <row r="8" spans="1:21" ht="15.75" customHeight="1">
      <c r="A8" s="290"/>
      <c r="B8" s="293"/>
      <c r="C8" s="293"/>
      <c r="D8" s="293"/>
      <c r="E8" s="293"/>
      <c r="F8" s="290"/>
      <c r="G8" s="294"/>
      <c r="H8" s="294"/>
      <c r="I8" s="295"/>
      <c r="J8" s="296" t="s">
        <v>70</v>
      </c>
      <c r="K8" s="868"/>
      <c r="L8" s="869"/>
      <c r="M8" s="305"/>
      <c r="N8" s="305"/>
      <c r="O8" s="296"/>
      <c r="P8" s="296"/>
      <c r="Q8" s="296"/>
      <c r="R8" s="296" t="s">
        <v>70</v>
      </c>
      <c r="S8" s="293"/>
      <c r="T8" s="306"/>
      <c r="U8" s="301"/>
    </row>
    <row r="9" spans="1:21" ht="15.75" customHeight="1">
      <c r="A9" s="290"/>
      <c r="B9" s="293"/>
      <c r="C9" s="293"/>
      <c r="D9" s="293"/>
      <c r="E9" s="293"/>
      <c r="F9" s="290"/>
      <c r="G9" s="294"/>
      <c r="H9" s="294"/>
      <c r="I9" s="295"/>
      <c r="J9" s="296" t="s">
        <v>70</v>
      </c>
      <c r="K9" s="868"/>
      <c r="L9" s="869"/>
      <c r="M9" s="305"/>
      <c r="N9" s="305"/>
      <c r="O9" s="296"/>
      <c r="P9" s="296"/>
      <c r="Q9" s="296"/>
      <c r="R9" s="296" t="s">
        <v>70</v>
      </c>
      <c r="S9" s="293"/>
      <c r="T9" s="306"/>
      <c r="U9" s="301"/>
    </row>
    <row r="10" spans="1:21" ht="15.75" customHeight="1">
      <c r="A10" s="290"/>
      <c r="B10" s="293"/>
      <c r="C10" s="293"/>
      <c r="D10" s="293"/>
      <c r="E10" s="293"/>
      <c r="F10" s="290"/>
      <c r="G10" s="294"/>
      <c r="H10" s="294"/>
      <c r="I10" s="295"/>
      <c r="J10" s="296" t="s">
        <v>70</v>
      </c>
      <c r="K10" s="868"/>
      <c r="L10" s="869"/>
      <c r="M10" s="305"/>
      <c r="N10" s="305"/>
      <c r="O10" s="296"/>
      <c r="P10" s="296"/>
      <c r="Q10" s="296"/>
      <c r="R10" s="296" t="s">
        <v>70</v>
      </c>
      <c r="S10" s="293"/>
      <c r="T10" s="306"/>
      <c r="U10" s="301"/>
    </row>
    <row r="11" spans="1:21" ht="15.75" customHeight="1">
      <c r="A11" s="290"/>
      <c r="B11" s="293"/>
      <c r="C11" s="293"/>
      <c r="D11" s="293"/>
      <c r="E11" s="293"/>
      <c r="F11" s="290"/>
      <c r="G11" s="294"/>
      <c r="H11" s="294"/>
      <c r="I11" s="295"/>
      <c r="J11" s="296" t="s">
        <v>70</v>
      </c>
      <c r="K11" s="868"/>
      <c r="L11" s="869"/>
      <c r="M11" s="305"/>
      <c r="N11" s="305"/>
      <c r="O11" s="296"/>
      <c r="P11" s="296"/>
      <c r="Q11" s="296"/>
      <c r="R11" s="296" t="s">
        <v>70</v>
      </c>
      <c r="S11" s="293"/>
      <c r="T11" s="306"/>
      <c r="U11" s="301"/>
    </row>
    <row r="12" spans="1:21" ht="15.75" customHeight="1">
      <c r="A12" s="290"/>
      <c r="B12" s="293"/>
      <c r="C12" s="293"/>
      <c r="D12" s="293"/>
      <c r="E12" s="293"/>
      <c r="F12" s="290"/>
      <c r="G12" s="294"/>
      <c r="H12" s="294"/>
      <c r="I12" s="295"/>
      <c r="J12" s="296" t="s">
        <v>70</v>
      </c>
      <c r="K12" s="868"/>
      <c r="L12" s="869"/>
      <c r="M12" s="305"/>
      <c r="N12" s="305"/>
      <c r="O12" s="296"/>
      <c r="P12" s="296"/>
      <c r="Q12" s="296"/>
      <c r="R12" s="296" t="s">
        <v>70</v>
      </c>
      <c r="S12" s="293"/>
      <c r="T12" s="306"/>
      <c r="U12" s="301"/>
    </row>
    <row r="13" spans="1:21" ht="15.75" customHeight="1">
      <c r="A13" s="290"/>
      <c r="B13" s="293"/>
      <c r="C13" s="293"/>
      <c r="D13" s="293"/>
      <c r="E13" s="293"/>
      <c r="F13" s="290"/>
      <c r="G13" s="294"/>
      <c r="H13" s="294"/>
      <c r="I13" s="295"/>
      <c r="J13" s="296" t="s">
        <v>70</v>
      </c>
      <c r="K13" s="868"/>
      <c r="L13" s="869"/>
      <c r="M13" s="305"/>
      <c r="N13" s="305"/>
      <c r="O13" s="296"/>
      <c r="P13" s="296"/>
      <c r="Q13" s="296"/>
      <c r="R13" s="296" t="s">
        <v>70</v>
      </c>
      <c r="S13" s="293"/>
      <c r="T13" s="306"/>
      <c r="U13" s="301"/>
    </row>
    <row r="14" spans="1:21" ht="15.75" customHeight="1">
      <c r="A14" s="290"/>
      <c r="B14" s="293"/>
      <c r="C14" s="293"/>
      <c r="D14" s="293"/>
      <c r="E14" s="293"/>
      <c r="F14" s="290"/>
      <c r="G14" s="294"/>
      <c r="H14" s="294"/>
      <c r="I14" s="295"/>
      <c r="J14" s="296" t="s">
        <v>70</v>
      </c>
      <c r="K14" s="868"/>
      <c r="L14" s="869"/>
      <c r="M14" s="305"/>
      <c r="N14" s="305"/>
      <c r="O14" s="296"/>
      <c r="P14" s="296"/>
      <c r="Q14" s="296"/>
      <c r="R14" s="296" t="s">
        <v>70</v>
      </c>
      <c r="S14" s="293"/>
      <c r="T14" s="306"/>
      <c r="U14" s="301"/>
    </row>
    <row r="15" spans="1:21" ht="15.75" customHeight="1">
      <c r="A15" s="290"/>
      <c r="B15" s="293"/>
      <c r="C15" s="293"/>
      <c r="D15" s="293"/>
      <c r="E15" s="293"/>
      <c r="F15" s="290"/>
      <c r="G15" s="294"/>
      <c r="H15" s="294"/>
      <c r="I15" s="295"/>
      <c r="J15" s="296"/>
      <c r="K15" s="868"/>
      <c r="L15" s="869"/>
      <c r="M15" s="305"/>
      <c r="N15" s="305"/>
      <c r="O15" s="296"/>
      <c r="P15" s="296"/>
      <c r="Q15" s="296"/>
      <c r="R15" s="296"/>
      <c r="S15" s="293"/>
      <c r="T15" s="306"/>
      <c r="U15" s="301"/>
    </row>
    <row r="16" spans="1:21" ht="15.75" customHeight="1">
      <c r="A16" s="290"/>
      <c r="B16" s="293"/>
      <c r="C16" s="293"/>
      <c r="D16" s="293"/>
      <c r="E16" s="293"/>
      <c r="F16" s="290"/>
      <c r="G16" s="294"/>
      <c r="H16" s="294"/>
      <c r="I16" s="295"/>
      <c r="J16" s="296"/>
      <c r="K16" s="868"/>
      <c r="L16" s="869"/>
      <c r="M16" s="305"/>
      <c r="N16" s="305"/>
      <c r="O16" s="296"/>
      <c r="P16" s="296"/>
      <c r="Q16" s="296"/>
      <c r="R16" s="296"/>
      <c r="S16" s="293"/>
      <c r="T16" s="306"/>
      <c r="U16" s="301"/>
    </row>
    <row r="17" spans="1:21" ht="15.75" customHeight="1">
      <c r="A17" s="290"/>
      <c r="B17" s="293"/>
      <c r="C17" s="293"/>
      <c r="D17" s="293"/>
      <c r="E17" s="293"/>
      <c r="F17" s="290"/>
      <c r="G17" s="294"/>
      <c r="H17" s="294"/>
      <c r="I17" s="295"/>
      <c r="J17" s="296" t="s">
        <v>70</v>
      </c>
      <c r="K17" s="868"/>
      <c r="L17" s="869"/>
      <c r="M17" s="305"/>
      <c r="N17" s="305"/>
      <c r="O17" s="296"/>
      <c r="P17" s="296"/>
      <c r="Q17" s="296"/>
      <c r="R17" s="296" t="s">
        <v>70</v>
      </c>
      <c r="S17" s="293"/>
      <c r="T17" s="306"/>
      <c r="U17" s="301"/>
    </row>
    <row r="18" spans="1:21" ht="15.75" customHeight="1">
      <c r="A18" s="290"/>
      <c r="B18" s="293"/>
      <c r="C18" s="293"/>
      <c r="D18" s="293"/>
      <c r="E18" s="293"/>
      <c r="F18" s="290"/>
      <c r="G18" s="294"/>
      <c r="H18" s="294"/>
      <c r="I18" s="295"/>
      <c r="J18" s="296"/>
      <c r="K18" s="868"/>
      <c r="L18" s="869"/>
      <c r="M18" s="305"/>
      <c r="N18" s="305"/>
      <c r="O18" s="296"/>
      <c r="P18" s="296"/>
      <c r="Q18" s="296"/>
      <c r="R18" s="296"/>
      <c r="S18" s="293"/>
      <c r="T18" s="306"/>
      <c r="U18" s="301"/>
    </row>
    <row r="19" spans="1:21" ht="15.75" customHeight="1">
      <c r="A19" s="290"/>
      <c r="B19" s="293"/>
      <c r="C19" s="293"/>
      <c r="D19" s="293"/>
      <c r="E19" s="293"/>
      <c r="F19" s="290"/>
      <c r="G19" s="294"/>
      <c r="H19" s="294"/>
      <c r="I19" s="295"/>
      <c r="J19" s="296"/>
      <c r="K19" s="868"/>
      <c r="L19" s="869"/>
      <c r="M19" s="305"/>
      <c r="N19" s="305"/>
      <c r="O19" s="296"/>
      <c r="P19" s="296"/>
      <c r="Q19" s="296"/>
      <c r="R19" s="296"/>
      <c r="S19" s="293"/>
      <c r="T19" s="306"/>
      <c r="U19" s="301"/>
    </row>
    <row r="20" spans="1:21" ht="15.75" customHeight="1">
      <c r="A20" s="290"/>
      <c r="B20" s="293"/>
      <c r="C20" s="293"/>
      <c r="D20" s="293"/>
      <c r="E20" s="293"/>
      <c r="F20" s="290"/>
      <c r="G20" s="294"/>
      <c r="H20" s="294"/>
      <c r="I20" s="295"/>
      <c r="J20" s="296"/>
      <c r="K20" s="868"/>
      <c r="L20" s="869"/>
      <c r="M20" s="305"/>
      <c r="N20" s="305"/>
      <c r="O20" s="296"/>
      <c r="P20" s="296"/>
      <c r="Q20" s="296"/>
      <c r="R20" s="296"/>
      <c r="S20" s="293"/>
      <c r="T20" s="306"/>
      <c r="U20" s="301"/>
    </row>
    <row r="21" spans="1:21" ht="15.75" customHeight="1">
      <c r="A21" s="290"/>
      <c r="B21" s="293"/>
      <c r="C21" s="293"/>
      <c r="D21" s="293"/>
      <c r="E21" s="293"/>
      <c r="F21" s="290"/>
      <c r="G21" s="294"/>
      <c r="H21" s="294"/>
      <c r="I21" s="295"/>
      <c r="J21" s="296" t="s">
        <v>70</v>
      </c>
      <c r="K21" s="868"/>
      <c r="L21" s="869"/>
      <c r="M21" s="305"/>
      <c r="N21" s="305"/>
      <c r="O21" s="296"/>
      <c r="P21" s="296"/>
      <c r="Q21" s="296"/>
      <c r="R21" s="296" t="s">
        <v>70</v>
      </c>
      <c r="S21" s="293"/>
      <c r="T21" s="306"/>
      <c r="U21" s="301"/>
    </row>
    <row r="22" spans="1:21" ht="15.75" customHeight="1">
      <c r="A22" s="290"/>
      <c r="B22" s="293"/>
      <c r="C22" s="293"/>
      <c r="D22" s="293"/>
      <c r="E22" s="293"/>
      <c r="F22" s="290"/>
      <c r="G22" s="294"/>
      <c r="H22" s="294"/>
      <c r="I22" s="295"/>
      <c r="J22" s="296" t="s">
        <v>70</v>
      </c>
      <c r="K22" s="868"/>
      <c r="L22" s="869"/>
      <c r="M22" s="305"/>
      <c r="N22" s="305"/>
      <c r="O22" s="296"/>
      <c r="P22" s="296"/>
      <c r="Q22" s="296"/>
      <c r="R22" s="296" t="s">
        <v>70</v>
      </c>
      <c r="S22" s="293"/>
      <c r="T22" s="306"/>
      <c r="U22" s="301"/>
    </row>
    <row r="23" spans="1:21" ht="15.75" customHeight="1">
      <c r="A23" s="290"/>
      <c r="B23" s="293"/>
      <c r="C23" s="293"/>
      <c r="D23" s="293"/>
      <c r="E23" s="293"/>
      <c r="F23" s="290"/>
      <c r="G23" s="294"/>
      <c r="H23" s="294"/>
      <c r="I23" s="295"/>
      <c r="J23" s="296" t="s">
        <v>70</v>
      </c>
      <c r="K23" s="868"/>
      <c r="L23" s="869"/>
      <c r="M23" s="305"/>
      <c r="N23" s="305"/>
      <c r="O23" s="296"/>
      <c r="P23" s="296"/>
      <c r="Q23" s="296"/>
      <c r="R23" s="296" t="s">
        <v>70</v>
      </c>
      <c r="S23" s="293"/>
      <c r="T23" s="306"/>
      <c r="U23" s="301"/>
    </row>
    <row r="24" spans="1:21" ht="15.75" customHeight="1">
      <c r="A24" s="290"/>
      <c r="B24" s="293"/>
      <c r="C24" s="293"/>
      <c r="D24" s="293"/>
      <c r="E24" s="293"/>
      <c r="F24" s="290"/>
      <c r="G24" s="294"/>
      <c r="H24" s="294"/>
      <c r="I24" s="295"/>
      <c r="J24" s="296" t="s">
        <v>70</v>
      </c>
      <c r="K24" s="868"/>
      <c r="L24" s="869"/>
      <c r="M24" s="305"/>
      <c r="N24" s="305"/>
      <c r="O24" s="296"/>
      <c r="P24" s="296"/>
      <c r="Q24" s="296"/>
      <c r="R24" s="296" t="s">
        <v>70</v>
      </c>
      <c r="S24" s="293"/>
      <c r="T24" s="306"/>
      <c r="U24" s="301"/>
    </row>
    <row r="25" spans="1:21" ht="15.75" customHeight="1">
      <c r="A25" s="290"/>
      <c r="B25" s="293"/>
      <c r="C25" s="293"/>
      <c r="D25" s="293"/>
      <c r="E25" s="293"/>
      <c r="F25" s="290"/>
      <c r="G25" s="294"/>
      <c r="H25" s="294"/>
      <c r="I25" s="295"/>
      <c r="J25" s="296" t="s">
        <v>70</v>
      </c>
      <c r="K25" s="868"/>
      <c r="L25" s="869"/>
      <c r="M25" s="305"/>
      <c r="N25" s="305"/>
      <c r="O25" s="296"/>
      <c r="P25" s="296"/>
      <c r="Q25" s="296"/>
      <c r="R25" s="296" t="s">
        <v>70</v>
      </c>
      <c r="S25" s="293"/>
      <c r="T25" s="306"/>
      <c r="U25" s="301"/>
    </row>
    <row r="26" spans="1:21" ht="15.75" customHeight="1">
      <c r="A26" s="290"/>
      <c r="B26" s="293"/>
      <c r="C26" s="293"/>
      <c r="D26" s="293"/>
      <c r="E26" s="293"/>
      <c r="F26" s="290"/>
      <c r="G26" s="294"/>
      <c r="H26" s="294"/>
      <c r="I26" s="295"/>
      <c r="J26" s="296"/>
      <c r="K26" s="868"/>
      <c r="L26" s="869"/>
      <c r="M26" s="305"/>
      <c r="N26" s="305"/>
      <c r="O26" s="296"/>
      <c r="P26" s="296"/>
      <c r="Q26" s="296"/>
      <c r="R26" s="296" t="s">
        <v>70</v>
      </c>
      <c r="S26" s="293"/>
      <c r="T26" s="306"/>
      <c r="U26" s="301"/>
    </row>
    <row r="27" spans="1:21" ht="15.75" customHeight="1">
      <c r="A27" s="860" t="s">
        <v>762</v>
      </c>
      <c r="B27" s="866"/>
      <c r="C27" s="867"/>
      <c r="D27" s="299"/>
      <c r="E27" s="299"/>
      <c r="F27" s="290"/>
      <c r="G27" s="294"/>
      <c r="H27" s="294"/>
      <c r="I27" s="295"/>
      <c r="J27" s="296" t="s">
        <v>70</v>
      </c>
      <c r="K27" s="868"/>
      <c r="L27" s="869"/>
      <c r="M27" s="305">
        <f>SUM(M8:M26)</f>
        <v>0</v>
      </c>
      <c r="N27" s="305"/>
      <c r="O27" s="305">
        <f>SUM(O8:O26)</f>
        <v>0</v>
      </c>
      <c r="P27" s="305">
        <f>SUM(P8:P26)</f>
        <v>0</v>
      </c>
      <c r="Q27" s="296"/>
      <c r="R27" s="296" t="s">
        <v>70</v>
      </c>
      <c r="S27" s="293"/>
      <c r="T27" s="306"/>
      <c r="U27" s="301"/>
    </row>
    <row r="28" spans="1:21" ht="15.75" customHeight="1">
      <c r="A28" s="101" t="e">
        <f>#REF!&amp;#REF!</f>
        <v>#REF!</v>
      </c>
      <c r="B28" s="129"/>
      <c r="C28" s="129"/>
      <c r="D28" s="129"/>
      <c r="E28" s="129"/>
      <c r="O28" s="129" t="e">
        <f>"评估人员："&amp;#REF!</f>
        <v>#REF!</v>
      </c>
    </row>
    <row r="29" spans="1:21" ht="15.75" customHeight="1">
      <c r="A29" s="101" t="e">
        <f>CONCATENATE(#REF!,#REF!,#REF!,#REF!,#REF!,#REF!,#REF!)</f>
        <v>#REF!</v>
      </c>
    </row>
  </sheetData>
  <mergeCells count="45">
    <mergeCell ref="U6:U7"/>
    <mergeCell ref="A27:C27"/>
    <mergeCell ref="R6:R7"/>
    <mergeCell ref="J6:J7"/>
    <mergeCell ref="E6:E7"/>
    <mergeCell ref="P6:P7"/>
    <mergeCell ref="K10:L10"/>
    <mergeCell ref="K11:L11"/>
    <mergeCell ref="K12:L12"/>
    <mergeCell ref="K13:L13"/>
    <mergeCell ref="T6:T7"/>
    <mergeCell ref="O6:O7"/>
    <mergeCell ref="Q6:Q7"/>
    <mergeCell ref="K6:L7"/>
    <mergeCell ref="M6:M7"/>
    <mergeCell ref="N6:N7"/>
    <mergeCell ref="A2:S2"/>
    <mergeCell ref="A3:S3"/>
    <mergeCell ref="A4:S4"/>
    <mergeCell ref="A6:A7"/>
    <mergeCell ref="B6:B7"/>
    <mergeCell ref="C6:C7"/>
    <mergeCell ref="F6:F7"/>
    <mergeCell ref="G6:G7"/>
    <mergeCell ref="H6:H7"/>
    <mergeCell ref="I6:I7"/>
    <mergeCell ref="A5:H5"/>
    <mergeCell ref="S6:S7"/>
    <mergeCell ref="D6:D7"/>
    <mergeCell ref="K17:L17"/>
    <mergeCell ref="K18:L18"/>
    <mergeCell ref="K19:L19"/>
    <mergeCell ref="K26:L26"/>
    <mergeCell ref="K27:L27"/>
    <mergeCell ref="K20:L20"/>
    <mergeCell ref="K21:L21"/>
    <mergeCell ref="K22:L22"/>
    <mergeCell ref="K23:L23"/>
    <mergeCell ref="K24:L24"/>
    <mergeCell ref="K25:L25"/>
    <mergeCell ref="K8:L8"/>
    <mergeCell ref="K9:L9"/>
    <mergeCell ref="K15:L15"/>
    <mergeCell ref="K16:L16"/>
    <mergeCell ref="K14:L14"/>
  </mergeCells>
  <phoneticPr fontId="6" type="noConversion"/>
  <hyperlinks>
    <hyperlink ref="A1" location="索引目录!C35" display="固定资产"/>
    <hyperlink ref="B1" location="分类汇总!B25" display="固定资产"/>
  </hyperlinks>
  <printOptions horizontalCentered="1"/>
  <pageMargins left="0.35433070866141736" right="0.35433070866141736" top="0.78740157480314965" bottom="0.78740157480314965" header="1.17" footer="0.51181102362204722"/>
  <pageSetup paperSize="9" scale="82" orientation="landscape" r:id="rId1"/>
  <headerFooter alignWithMargins="0">
    <oddHeader>&amp;R&amp;"宋体,常规"&amp;10表&amp;"Times New Roman,常规"4-5-2
&amp;"宋体,常规"共&amp;"Times New Roman,常规"&amp;N&amp;"宋体,常规"页第&amp;"Times New Roman,常规"&amp;P&amp;"宋体,常规"页</oddHeader>
  </headerFooter>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0" enableFormatConditionsCalculation="0">
    <tabColor indexed="14"/>
    <pageSetUpPr fitToPage="1"/>
  </sheetPr>
  <dimension ref="A1:S29"/>
  <sheetViews>
    <sheetView workbookViewId="0">
      <selection activeCell="H10" sqref="H10"/>
    </sheetView>
  </sheetViews>
  <sheetFormatPr defaultRowHeight="12.75" outlineLevelCol="1"/>
  <cols>
    <col min="1" max="1" width="4.375" style="287" customWidth="1"/>
    <col min="2" max="2" width="6.25" style="287" customWidth="1"/>
    <col min="3" max="3" width="11.375" style="287" customWidth="1"/>
    <col min="4" max="4" width="13.75" style="287" customWidth="1"/>
    <col min="5" max="5" width="8.625" style="287" customWidth="1"/>
    <col min="6" max="7" width="4.875" style="287" customWidth="1"/>
    <col min="8" max="8" width="4.625" style="287" customWidth="1"/>
    <col min="9" max="9" width="4.5" style="287" customWidth="1"/>
    <col min="10" max="10" width="4.875" style="287" customWidth="1"/>
    <col min="11" max="11" width="7.5" style="287" customWidth="1"/>
    <col min="12" max="12" width="8.25" style="287" customWidth="1"/>
    <col min="13" max="13" width="12.25" style="287" customWidth="1" outlineLevel="1"/>
    <col min="14" max="14" width="10.25" style="287" customWidth="1" outlineLevel="1"/>
    <col min="15" max="16" width="10.25" style="287" customWidth="1"/>
    <col min="17" max="17" width="8.75" style="287" customWidth="1"/>
    <col min="18" max="18" width="7.375" style="287" customWidth="1"/>
    <col min="19" max="19" width="8.375" style="287" customWidth="1"/>
    <col min="20" max="16384" width="9" style="287"/>
  </cols>
  <sheetData>
    <row r="1" spans="1:19" s="4" customFormat="1" ht="14.25">
      <c r="A1" s="272" t="s">
        <v>130</v>
      </c>
      <c r="B1" s="196" t="s">
        <v>131</v>
      </c>
      <c r="C1" s="1"/>
      <c r="D1" s="1"/>
      <c r="E1" s="1"/>
      <c r="F1" s="1"/>
      <c r="G1" s="1"/>
      <c r="H1" s="1"/>
      <c r="I1" s="1"/>
      <c r="J1" s="1"/>
      <c r="K1" s="1"/>
      <c r="L1" s="1"/>
    </row>
    <row r="2" spans="1:19" s="285" customFormat="1" ht="30" customHeight="1">
      <c r="A2" s="848" t="s">
        <v>739</v>
      </c>
      <c r="B2" s="848"/>
      <c r="C2" s="848"/>
      <c r="D2" s="848"/>
      <c r="E2" s="848"/>
      <c r="F2" s="848"/>
      <c r="G2" s="848"/>
      <c r="H2" s="848"/>
      <c r="I2" s="848"/>
      <c r="J2" s="848"/>
      <c r="K2" s="848"/>
      <c r="L2" s="848"/>
      <c r="M2" s="848"/>
      <c r="N2" s="848"/>
      <c r="O2" s="848"/>
      <c r="P2" s="848"/>
      <c r="Q2" s="848"/>
      <c r="R2" s="848"/>
      <c r="S2" s="848"/>
    </row>
    <row r="3" spans="1:19" s="285" customFormat="1" ht="15.75" customHeight="1">
      <c r="A3" s="863" t="s">
        <v>734</v>
      </c>
      <c r="B3" s="863"/>
      <c r="C3" s="863"/>
      <c r="D3" s="863"/>
      <c r="E3" s="863"/>
      <c r="F3" s="863"/>
      <c r="G3" s="863"/>
      <c r="H3" s="863"/>
      <c r="I3" s="863"/>
      <c r="J3" s="863"/>
      <c r="K3" s="863"/>
      <c r="L3" s="863"/>
      <c r="M3" s="863"/>
      <c r="N3" s="863"/>
      <c r="O3" s="863"/>
      <c r="P3" s="863"/>
      <c r="Q3" s="863"/>
      <c r="R3" s="863"/>
      <c r="S3" s="863"/>
    </row>
    <row r="4" spans="1:19" ht="13.5" customHeight="1">
      <c r="A4" s="849" t="e">
        <f>'4-5-2投资性房地产'!A4:S4</f>
        <v>#REF!</v>
      </c>
      <c r="B4" s="850"/>
      <c r="C4" s="850"/>
      <c r="D4" s="850"/>
      <c r="E4" s="850"/>
      <c r="F4" s="850"/>
      <c r="G4" s="850"/>
      <c r="H4" s="850"/>
      <c r="I4" s="850"/>
      <c r="J4" s="850"/>
      <c r="K4" s="882"/>
      <c r="L4" s="882"/>
      <c r="M4" s="882"/>
      <c r="N4" s="882"/>
      <c r="O4" s="882"/>
      <c r="P4" s="882"/>
      <c r="Q4" s="882"/>
      <c r="R4" s="882"/>
      <c r="S4" s="882"/>
    </row>
    <row r="5" spans="1:19" s="325" customFormat="1" ht="12.75" customHeight="1">
      <c r="A5" s="870" t="s">
        <v>735</v>
      </c>
      <c r="B5" s="870"/>
      <c r="C5" s="870"/>
      <c r="D5" s="870"/>
      <c r="E5" s="870"/>
      <c r="S5" s="326" t="s">
        <v>3</v>
      </c>
    </row>
    <row r="6" spans="1:19" s="310" customFormat="1" ht="36">
      <c r="A6" s="289" t="s">
        <v>4</v>
      </c>
      <c r="B6" s="289" t="s">
        <v>244</v>
      </c>
      <c r="C6" s="308" t="s">
        <v>83</v>
      </c>
      <c r="D6" s="308" t="s">
        <v>737</v>
      </c>
      <c r="E6" s="289" t="s">
        <v>245</v>
      </c>
      <c r="F6" s="289" t="s">
        <v>242</v>
      </c>
      <c r="G6" s="289" t="s">
        <v>246</v>
      </c>
      <c r="H6" s="289" t="s">
        <v>763</v>
      </c>
      <c r="I6" s="289" t="s">
        <v>247</v>
      </c>
      <c r="J6" s="289" t="s">
        <v>248</v>
      </c>
      <c r="K6" s="289" t="s">
        <v>249</v>
      </c>
      <c r="L6" s="289" t="s">
        <v>670</v>
      </c>
      <c r="M6" s="309" t="s">
        <v>427</v>
      </c>
      <c r="N6" s="309" t="s">
        <v>710</v>
      </c>
      <c r="O6" s="309" t="s">
        <v>315</v>
      </c>
      <c r="P6" s="289" t="s">
        <v>0</v>
      </c>
      <c r="Q6" s="289" t="s">
        <v>1</v>
      </c>
      <c r="R6" s="289" t="s">
        <v>20</v>
      </c>
      <c r="S6" s="289" t="s">
        <v>72</v>
      </c>
    </row>
    <row r="7" spans="1:19" ht="15.75" customHeight="1">
      <c r="A7" s="290"/>
      <c r="B7" s="290"/>
      <c r="C7" s="311"/>
      <c r="D7" s="311"/>
      <c r="E7" s="293"/>
      <c r="F7" s="294"/>
      <c r="G7" s="290"/>
      <c r="H7" s="290"/>
      <c r="I7" s="290"/>
      <c r="J7" s="290"/>
      <c r="K7" s="296"/>
      <c r="L7" s="296"/>
      <c r="M7" s="297"/>
      <c r="N7" s="297"/>
      <c r="O7" s="297"/>
      <c r="P7" s="296"/>
      <c r="Q7" s="296"/>
      <c r="R7" s="296"/>
      <c r="S7" s="301"/>
    </row>
    <row r="8" spans="1:19" ht="15.75" customHeight="1">
      <c r="A8" s="290"/>
      <c r="B8" s="290"/>
      <c r="C8" s="311"/>
      <c r="D8" s="311"/>
      <c r="E8" s="293"/>
      <c r="F8" s="294"/>
      <c r="G8" s="290"/>
      <c r="H8" s="290"/>
      <c r="I8" s="290"/>
      <c r="J8" s="290"/>
      <c r="K8" s="296"/>
      <c r="L8" s="296"/>
      <c r="M8" s="296"/>
      <c r="N8" s="296"/>
      <c r="O8" s="296"/>
      <c r="P8" s="296"/>
      <c r="Q8" s="296"/>
      <c r="R8" s="296"/>
      <c r="S8" s="301"/>
    </row>
    <row r="9" spans="1:19" ht="15.75" customHeight="1">
      <c r="A9" s="290"/>
      <c r="B9" s="290"/>
      <c r="C9" s="311"/>
      <c r="D9" s="311"/>
      <c r="E9" s="293"/>
      <c r="F9" s="294"/>
      <c r="G9" s="290"/>
      <c r="H9" s="290"/>
      <c r="I9" s="290"/>
      <c r="J9" s="290"/>
      <c r="K9" s="296"/>
      <c r="L9" s="296"/>
      <c r="M9" s="296"/>
      <c r="N9" s="296"/>
      <c r="O9" s="296"/>
      <c r="P9" s="296"/>
      <c r="Q9" s="296"/>
      <c r="R9" s="296"/>
      <c r="S9" s="301"/>
    </row>
    <row r="10" spans="1:19" ht="15.75" customHeight="1">
      <c r="A10" s="290"/>
      <c r="B10" s="290"/>
      <c r="C10" s="311"/>
      <c r="D10" s="311"/>
      <c r="E10" s="293"/>
      <c r="F10" s="294"/>
      <c r="G10" s="290"/>
      <c r="H10" s="290"/>
      <c r="I10" s="290"/>
      <c r="J10" s="290"/>
      <c r="K10" s="296"/>
      <c r="L10" s="296"/>
      <c r="M10" s="296"/>
      <c r="N10" s="296"/>
      <c r="O10" s="296"/>
      <c r="P10" s="296"/>
      <c r="Q10" s="296"/>
      <c r="R10" s="296"/>
      <c r="S10" s="301"/>
    </row>
    <row r="11" spans="1:19" ht="15.75" customHeight="1">
      <c r="A11" s="290"/>
      <c r="B11" s="290"/>
      <c r="C11" s="311"/>
      <c r="D11" s="311"/>
      <c r="E11" s="293"/>
      <c r="F11" s="294"/>
      <c r="G11" s="290"/>
      <c r="H11" s="290"/>
      <c r="I11" s="290"/>
      <c r="J11" s="290"/>
      <c r="K11" s="296"/>
      <c r="L11" s="296"/>
      <c r="M11" s="296"/>
      <c r="N11" s="296"/>
      <c r="O11" s="296"/>
      <c r="P11" s="296"/>
      <c r="Q11" s="296"/>
      <c r="R11" s="296"/>
      <c r="S11" s="301"/>
    </row>
    <row r="12" spans="1:19" ht="15.75" customHeight="1">
      <c r="A12" s="290"/>
      <c r="B12" s="290"/>
      <c r="C12" s="311"/>
      <c r="D12" s="311"/>
      <c r="E12" s="293"/>
      <c r="F12" s="294"/>
      <c r="G12" s="290"/>
      <c r="H12" s="290"/>
      <c r="I12" s="290"/>
      <c r="J12" s="290"/>
      <c r="K12" s="296"/>
      <c r="L12" s="296"/>
      <c r="M12" s="296"/>
      <c r="N12" s="296"/>
      <c r="O12" s="296"/>
      <c r="P12" s="296"/>
      <c r="Q12" s="296"/>
      <c r="R12" s="296"/>
      <c r="S12" s="301"/>
    </row>
    <row r="13" spans="1:19" ht="15.75" customHeight="1">
      <c r="A13" s="290"/>
      <c r="B13" s="290"/>
      <c r="C13" s="311"/>
      <c r="D13" s="311"/>
      <c r="E13" s="293"/>
      <c r="F13" s="294"/>
      <c r="G13" s="290"/>
      <c r="H13" s="290"/>
      <c r="I13" s="290"/>
      <c r="J13" s="290"/>
      <c r="K13" s="296"/>
      <c r="L13" s="296"/>
      <c r="M13" s="296"/>
      <c r="N13" s="296"/>
      <c r="O13" s="296"/>
      <c r="P13" s="296"/>
      <c r="Q13" s="296"/>
      <c r="R13" s="296"/>
      <c r="S13" s="301"/>
    </row>
    <row r="14" spans="1:19" ht="15.75" customHeight="1">
      <c r="A14" s="290"/>
      <c r="B14" s="290"/>
      <c r="C14" s="311"/>
      <c r="D14" s="311"/>
      <c r="E14" s="293"/>
      <c r="F14" s="294"/>
      <c r="G14" s="290"/>
      <c r="H14" s="290"/>
      <c r="I14" s="290"/>
      <c r="J14" s="290"/>
      <c r="K14" s="296"/>
      <c r="L14" s="296"/>
      <c r="M14" s="296"/>
      <c r="N14" s="296"/>
      <c r="O14" s="296"/>
      <c r="P14" s="296"/>
      <c r="Q14" s="296"/>
      <c r="R14" s="296"/>
      <c r="S14" s="301"/>
    </row>
    <row r="15" spans="1:19" ht="15.75" customHeight="1">
      <c r="A15" s="290"/>
      <c r="B15" s="290"/>
      <c r="C15" s="311"/>
      <c r="D15" s="311"/>
      <c r="E15" s="293"/>
      <c r="F15" s="294"/>
      <c r="G15" s="290"/>
      <c r="H15" s="290"/>
      <c r="I15" s="290"/>
      <c r="J15" s="290"/>
      <c r="K15" s="296"/>
      <c r="L15" s="296"/>
      <c r="M15" s="296"/>
      <c r="N15" s="296"/>
      <c r="O15" s="296"/>
      <c r="P15" s="296"/>
      <c r="Q15" s="296"/>
      <c r="R15" s="296"/>
      <c r="S15" s="301"/>
    </row>
    <row r="16" spans="1:19" ht="15.75" customHeight="1">
      <c r="A16" s="290"/>
      <c r="B16" s="290"/>
      <c r="C16" s="311"/>
      <c r="D16" s="311"/>
      <c r="E16" s="293"/>
      <c r="F16" s="294"/>
      <c r="G16" s="290"/>
      <c r="H16" s="290"/>
      <c r="I16" s="290"/>
      <c r="J16" s="290"/>
      <c r="K16" s="296"/>
      <c r="L16" s="296"/>
      <c r="M16" s="296"/>
      <c r="N16" s="296"/>
      <c r="O16" s="296"/>
      <c r="P16" s="296"/>
      <c r="Q16" s="296"/>
      <c r="R16" s="296"/>
      <c r="S16" s="301"/>
    </row>
    <row r="17" spans="1:19" ht="15.75" customHeight="1">
      <c r="A17" s="290"/>
      <c r="B17" s="290"/>
      <c r="C17" s="311"/>
      <c r="D17" s="311"/>
      <c r="E17" s="293"/>
      <c r="F17" s="294"/>
      <c r="G17" s="290"/>
      <c r="H17" s="290"/>
      <c r="I17" s="290"/>
      <c r="J17" s="290"/>
      <c r="K17" s="296"/>
      <c r="L17" s="296"/>
      <c r="M17" s="296"/>
      <c r="N17" s="296"/>
      <c r="O17" s="296"/>
      <c r="P17" s="296"/>
      <c r="Q17" s="296"/>
      <c r="R17" s="296"/>
      <c r="S17" s="301"/>
    </row>
    <row r="18" spans="1:19" ht="15.75" customHeight="1">
      <c r="A18" s="290"/>
      <c r="B18" s="290"/>
      <c r="C18" s="311"/>
      <c r="D18" s="311"/>
      <c r="E18" s="293"/>
      <c r="F18" s="294"/>
      <c r="G18" s="290"/>
      <c r="H18" s="290"/>
      <c r="I18" s="290"/>
      <c r="J18" s="290"/>
      <c r="K18" s="296"/>
      <c r="L18" s="296"/>
      <c r="M18" s="296"/>
      <c r="N18" s="296"/>
      <c r="O18" s="296"/>
      <c r="P18" s="296"/>
      <c r="Q18" s="296"/>
      <c r="R18" s="296"/>
      <c r="S18" s="301"/>
    </row>
    <row r="19" spans="1:19" ht="15.75" customHeight="1">
      <c r="A19" s="290"/>
      <c r="B19" s="290"/>
      <c r="C19" s="311"/>
      <c r="D19" s="311"/>
      <c r="E19" s="293"/>
      <c r="F19" s="294"/>
      <c r="G19" s="290"/>
      <c r="H19" s="290"/>
      <c r="I19" s="290"/>
      <c r="J19" s="290"/>
      <c r="K19" s="296"/>
      <c r="L19" s="296"/>
      <c r="M19" s="296"/>
      <c r="N19" s="296"/>
      <c r="O19" s="296"/>
      <c r="P19" s="296"/>
      <c r="Q19" s="296"/>
      <c r="R19" s="296"/>
      <c r="S19" s="301"/>
    </row>
    <row r="20" spans="1:19" ht="15.75" customHeight="1">
      <c r="A20" s="290"/>
      <c r="B20" s="290"/>
      <c r="C20" s="311"/>
      <c r="D20" s="311"/>
      <c r="E20" s="293"/>
      <c r="F20" s="294"/>
      <c r="G20" s="290"/>
      <c r="H20" s="290"/>
      <c r="I20" s="290"/>
      <c r="J20" s="290"/>
      <c r="K20" s="296"/>
      <c r="L20" s="296"/>
      <c r="M20" s="296"/>
      <c r="N20" s="296"/>
      <c r="O20" s="296"/>
      <c r="P20" s="296"/>
      <c r="Q20" s="296"/>
      <c r="R20" s="296"/>
      <c r="S20" s="301"/>
    </row>
    <row r="21" spans="1:19" ht="15.75" customHeight="1">
      <c r="A21" s="290"/>
      <c r="B21" s="290"/>
      <c r="C21" s="311"/>
      <c r="D21" s="311"/>
      <c r="E21" s="293"/>
      <c r="F21" s="294"/>
      <c r="G21" s="290"/>
      <c r="H21" s="290"/>
      <c r="I21" s="290"/>
      <c r="J21" s="290"/>
      <c r="K21" s="296"/>
      <c r="L21" s="296"/>
      <c r="M21" s="296"/>
      <c r="N21" s="296"/>
      <c r="O21" s="296"/>
      <c r="P21" s="296"/>
      <c r="Q21" s="296"/>
      <c r="R21" s="296"/>
      <c r="S21" s="301"/>
    </row>
    <row r="22" spans="1:19" ht="15.75" customHeight="1">
      <c r="A22" s="290"/>
      <c r="B22" s="290"/>
      <c r="C22" s="311"/>
      <c r="D22" s="311"/>
      <c r="E22" s="293"/>
      <c r="F22" s="294"/>
      <c r="G22" s="290"/>
      <c r="H22" s="290"/>
      <c r="I22" s="290"/>
      <c r="J22" s="290"/>
      <c r="K22" s="296"/>
      <c r="L22" s="296"/>
      <c r="M22" s="296"/>
      <c r="N22" s="296"/>
      <c r="O22" s="296"/>
      <c r="P22" s="296"/>
      <c r="Q22" s="296"/>
      <c r="R22" s="296"/>
      <c r="S22" s="301"/>
    </row>
    <row r="23" spans="1:19" ht="15.75" customHeight="1">
      <c r="A23" s="290"/>
      <c r="B23" s="290"/>
      <c r="C23" s="311"/>
      <c r="D23" s="311"/>
      <c r="E23" s="293"/>
      <c r="F23" s="294"/>
      <c r="G23" s="290"/>
      <c r="H23" s="290"/>
      <c r="I23" s="290"/>
      <c r="J23" s="290"/>
      <c r="K23" s="296"/>
      <c r="L23" s="296"/>
      <c r="M23" s="296"/>
      <c r="N23" s="296"/>
      <c r="O23" s="296"/>
      <c r="P23" s="296"/>
      <c r="Q23" s="296"/>
      <c r="R23" s="296"/>
      <c r="S23" s="301"/>
    </row>
    <row r="24" spans="1:19" ht="15.75" customHeight="1">
      <c r="A24" s="290"/>
      <c r="B24" s="290"/>
      <c r="C24" s="311"/>
      <c r="D24" s="311"/>
      <c r="E24" s="293"/>
      <c r="F24" s="294"/>
      <c r="G24" s="290"/>
      <c r="H24" s="290"/>
      <c r="I24" s="290"/>
      <c r="J24" s="290"/>
      <c r="K24" s="296"/>
      <c r="L24" s="296"/>
      <c r="M24" s="296"/>
      <c r="N24" s="296"/>
      <c r="O24" s="296"/>
      <c r="P24" s="296"/>
      <c r="Q24" s="296"/>
      <c r="R24" s="296"/>
      <c r="S24" s="301"/>
    </row>
    <row r="25" spans="1:19" ht="15.75" customHeight="1">
      <c r="A25" s="860" t="s">
        <v>54</v>
      </c>
      <c r="B25" s="866"/>
      <c r="C25" s="867"/>
      <c r="D25" s="299"/>
      <c r="E25" s="290"/>
      <c r="F25" s="294"/>
      <c r="G25" s="294"/>
      <c r="H25" s="294"/>
      <c r="I25" s="295"/>
      <c r="J25" s="296" t="s">
        <v>70</v>
      </c>
      <c r="K25" s="297"/>
      <c r="L25" s="296"/>
      <c r="M25" s="296"/>
      <c r="N25" s="296"/>
      <c r="O25" s="296"/>
      <c r="P25" s="298"/>
      <c r="Q25" s="298"/>
      <c r="R25" s="296"/>
      <c r="S25" s="296" t="s">
        <v>70</v>
      </c>
    </row>
    <row r="26" spans="1:19" ht="15.75" customHeight="1">
      <c r="A26" s="879" t="s">
        <v>561</v>
      </c>
      <c r="B26" s="880"/>
      <c r="C26" s="881"/>
      <c r="D26" s="292"/>
      <c r="E26" s="290"/>
      <c r="F26" s="294"/>
      <c r="G26" s="294"/>
      <c r="H26" s="294"/>
      <c r="I26" s="295"/>
      <c r="J26" s="296"/>
      <c r="K26" s="297"/>
      <c r="L26" s="296"/>
      <c r="M26" s="296"/>
      <c r="N26" s="296"/>
      <c r="O26" s="296"/>
      <c r="P26" s="298"/>
      <c r="Q26" s="298"/>
      <c r="R26" s="296"/>
      <c r="S26" s="296" t="s">
        <v>70</v>
      </c>
    </row>
    <row r="27" spans="1:19" ht="15.75" customHeight="1">
      <c r="A27" s="860" t="s">
        <v>54</v>
      </c>
      <c r="B27" s="864"/>
      <c r="C27" s="865"/>
      <c r="D27" s="292"/>
      <c r="E27" s="290"/>
      <c r="F27" s="294"/>
      <c r="G27" s="294"/>
      <c r="H27" s="294"/>
      <c r="I27" s="301"/>
      <c r="J27" s="296"/>
      <c r="K27" s="297"/>
      <c r="L27" s="296"/>
      <c r="M27" s="296">
        <f>SUM(M7:M26)</f>
        <v>0</v>
      </c>
      <c r="N27" s="296"/>
      <c r="O27" s="296">
        <f>SUM(O7:O26)</f>
        <v>0</v>
      </c>
      <c r="P27" s="296">
        <f>SUM(P7:P26)</f>
        <v>0</v>
      </c>
      <c r="Q27" s="298"/>
      <c r="R27" s="296"/>
      <c r="S27" s="296" t="s">
        <v>70</v>
      </c>
    </row>
    <row r="28" spans="1:19" ht="15.75" customHeight="1">
      <c r="A28" s="101" t="e">
        <f>#REF!&amp;#REF!</f>
        <v>#REF!</v>
      </c>
      <c r="B28" s="129"/>
      <c r="C28" s="129"/>
      <c r="D28" s="129"/>
      <c r="O28" s="129" t="e">
        <f>"评估人员："&amp;#REF!</f>
        <v>#REF!</v>
      </c>
    </row>
    <row r="29" spans="1:19" ht="15.75" customHeight="1">
      <c r="A29" s="101" t="e">
        <f>CONCATENATE(#REF!,#REF!,#REF!,#REF!,#REF!,#REF!,#REF!)</f>
        <v>#REF!</v>
      </c>
    </row>
  </sheetData>
  <mergeCells count="7">
    <mergeCell ref="A26:C26"/>
    <mergeCell ref="A27:C27"/>
    <mergeCell ref="A4:S4"/>
    <mergeCell ref="A2:S2"/>
    <mergeCell ref="A3:S3"/>
    <mergeCell ref="A25:C25"/>
    <mergeCell ref="A5:E5"/>
  </mergeCells>
  <phoneticPr fontId="6" type="noConversion"/>
  <hyperlinks>
    <hyperlink ref="A1" location="索引目录!C35" display="固定资产"/>
    <hyperlink ref="B1" location="分类汇总!B25" display="固定资产"/>
  </hyperlinks>
  <printOptions horizontalCentered="1"/>
  <pageMargins left="0.35433070866141736" right="0.35433070866141736" top="0.78740157480314965" bottom="0.78740157480314965" header="1.17" footer="0.51181102362204722"/>
  <pageSetup paperSize="9" scale="86" orientation="landscape" r:id="rId1"/>
  <headerFooter alignWithMargins="0">
    <oddHeader>&amp;R&amp;"宋体,常规"&amp;10表&amp;"Times New Roman,常规"4-5-3
&amp;"宋体,常规"共&amp;"Times New Roman,常规"&amp;N&amp;"宋体,常规"页第&amp;"Times New Roman,常规"&amp;P&amp;"宋体,常规"页</oddHeader>
  </headerFooter>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9" enableFormatConditionsCalculation="0">
    <tabColor indexed="14"/>
    <pageSetUpPr fitToPage="1"/>
  </sheetPr>
  <dimension ref="A1:T29"/>
  <sheetViews>
    <sheetView workbookViewId="0">
      <selection activeCell="H10" sqref="H10"/>
    </sheetView>
  </sheetViews>
  <sheetFormatPr defaultRowHeight="12.75" outlineLevelCol="1"/>
  <cols>
    <col min="1" max="1" width="4.75" style="287" customWidth="1"/>
    <col min="2" max="2" width="6.875" style="287" customWidth="1"/>
    <col min="3" max="3" width="7.875" style="287" customWidth="1"/>
    <col min="4" max="4" width="13.75" style="287" customWidth="1"/>
    <col min="5" max="5" width="9.125" style="287" customWidth="1"/>
    <col min="6" max="6" width="4.75" style="287" customWidth="1"/>
    <col min="7" max="7" width="4.875" style="287" customWidth="1"/>
    <col min="8" max="8" width="4.625" style="287" customWidth="1"/>
    <col min="9" max="9" width="4.25" style="287" customWidth="1"/>
    <col min="10" max="10" width="4.75" style="287" customWidth="1"/>
    <col min="11" max="11" width="6.75" style="287" customWidth="1"/>
    <col min="12" max="12" width="10.25" style="287" customWidth="1"/>
    <col min="13" max="13" width="12.625" style="287" customWidth="1" outlineLevel="1"/>
    <col min="14" max="14" width="11.875" style="287" customWidth="1" outlineLevel="1"/>
    <col min="15" max="16" width="11.875" style="287" customWidth="1"/>
    <col min="17" max="17" width="10.125" style="287" customWidth="1"/>
    <col min="18" max="18" width="7.5" style="287" customWidth="1"/>
    <col min="19" max="19" width="7.875" style="287" customWidth="1"/>
    <col min="20" max="16384" width="9" style="287"/>
  </cols>
  <sheetData>
    <row r="1" spans="1:20" s="4" customFormat="1" ht="14.25">
      <c r="A1" s="272" t="s">
        <v>130</v>
      </c>
      <c r="B1" s="196" t="s">
        <v>131</v>
      </c>
      <c r="C1" s="1"/>
      <c r="D1" s="1"/>
      <c r="E1" s="1"/>
      <c r="F1" s="1"/>
      <c r="G1" s="1"/>
      <c r="H1" s="1"/>
      <c r="I1" s="1"/>
      <c r="J1" s="1"/>
      <c r="K1" s="1"/>
      <c r="L1" s="1"/>
    </row>
    <row r="2" spans="1:20" s="285" customFormat="1" ht="30" customHeight="1">
      <c r="A2" s="848" t="s">
        <v>739</v>
      </c>
      <c r="B2" s="848"/>
      <c r="C2" s="848"/>
      <c r="D2" s="848"/>
      <c r="E2" s="848"/>
      <c r="F2" s="848"/>
      <c r="G2" s="848"/>
      <c r="H2" s="848"/>
      <c r="I2" s="848"/>
      <c r="J2" s="848"/>
      <c r="K2" s="848"/>
      <c r="L2" s="848"/>
      <c r="M2" s="848"/>
      <c r="N2" s="848"/>
      <c r="O2" s="848"/>
      <c r="P2" s="848"/>
      <c r="Q2" s="848"/>
      <c r="R2" s="848"/>
      <c r="S2" s="848"/>
      <c r="T2" s="310"/>
    </row>
    <row r="3" spans="1:20" s="285" customFormat="1" ht="15.75" customHeight="1">
      <c r="A3" s="863" t="s">
        <v>764</v>
      </c>
      <c r="B3" s="863"/>
      <c r="C3" s="863"/>
      <c r="D3" s="863"/>
      <c r="E3" s="863"/>
      <c r="F3" s="863"/>
      <c r="G3" s="863"/>
      <c r="H3" s="863"/>
      <c r="I3" s="863"/>
      <c r="J3" s="863"/>
      <c r="K3" s="863"/>
      <c r="L3" s="863"/>
      <c r="M3" s="863"/>
      <c r="N3" s="863"/>
      <c r="O3" s="863"/>
      <c r="P3" s="863"/>
      <c r="Q3" s="863"/>
      <c r="R3" s="863"/>
      <c r="S3" s="863"/>
      <c r="T3" s="310"/>
    </row>
    <row r="4" spans="1:20" ht="14.1" customHeight="1">
      <c r="A4" s="849" t="e">
        <f>'4-5-3投资性地产'!A4:S4</f>
        <v>#REF!</v>
      </c>
      <c r="B4" s="850"/>
      <c r="C4" s="850"/>
      <c r="D4" s="850"/>
      <c r="E4" s="850"/>
      <c r="F4" s="850"/>
      <c r="G4" s="850"/>
      <c r="H4" s="850"/>
      <c r="I4" s="850"/>
      <c r="J4" s="850"/>
      <c r="K4" s="882"/>
      <c r="L4" s="882"/>
      <c r="M4" s="882"/>
      <c r="N4" s="882"/>
      <c r="O4" s="882"/>
      <c r="P4" s="882"/>
      <c r="Q4" s="882"/>
      <c r="R4" s="882"/>
      <c r="S4" s="882"/>
    </row>
    <row r="5" spans="1:20" s="325" customFormat="1" ht="15.75" customHeight="1">
      <c r="A5" s="870" t="s">
        <v>735</v>
      </c>
      <c r="B5" s="870"/>
      <c r="C5" s="870"/>
      <c r="D5" s="870"/>
      <c r="E5" s="870"/>
      <c r="S5" s="326" t="s">
        <v>3</v>
      </c>
    </row>
    <row r="6" spans="1:20" s="310" customFormat="1" ht="39" customHeight="1">
      <c r="A6" s="289" t="s">
        <v>4</v>
      </c>
      <c r="B6" s="289" t="s">
        <v>244</v>
      </c>
      <c r="C6" s="308" t="s">
        <v>83</v>
      </c>
      <c r="D6" s="308" t="s">
        <v>737</v>
      </c>
      <c r="E6" s="289" t="s">
        <v>245</v>
      </c>
      <c r="F6" s="289" t="s">
        <v>242</v>
      </c>
      <c r="G6" s="289" t="s">
        <v>246</v>
      </c>
      <c r="H6" s="289" t="s">
        <v>763</v>
      </c>
      <c r="I6" s="289" t="s">
        <v>247</v>
      </c>
      <c r="J6" s="289" t="s">
        <v>248</v>
      </c>
      <c r="K6" s="289" t="s">
        <v>249</v>
      </c>
      <c r="L6" s="289" t="s">
        <v>765</v>
      </c>
      <c r="M6" s="309" t="s">
        <v>427</v>
      </c>
      <c r="N6" s="309" t="s">
        <v>710</v>
      </c>
      <c r="O6" s="309" t="s">
        <v>315</v>
      </c>
      <c r="P6" s="289" t="s">
        <v>0</v>
      </c>
      <c r="Q6" s="289" t="s">
        <v>1</v>
      </c>
      <c r="R6" s="289" t="s">
        <v>20</v>
      </c>
      <c r="S6" s="289" t="s">
        <v>72</v>
      </c>
    </row>
    <row r="7" spans="1:20" ht="15.75" customHeight="1">
      <c r="A7" s="290"/>
      <c r="B7" s="290"/>
      <c r="C7" s="311"/>
      <c r="D7" s="311"/>
      <c r="E7" s="293"/>
      <c r="F7" s="294"/>
      <c r="G7" s="290"/>
      <c r="H7" s="290"/>
      <c r="I7" s="290"/>
      <c r="J7" s="290"/>
      <c r="K7" s="296"/>
      <c r="L7" s="296"/>
      <c r="M7" s="297"/>
      <c r="N7" s="297"/>
      <c r="O7" s="297"/>
      <c r="P7" s="296"/>
      <c r="Q7" s="296"/>
      <c r="R7" s="296" t="s">
        <v>70</v>
      </c>
      <c r="S7" s="301"/>
    </row>
    <row r="8" spans="1:20" ht="15.75" customHeight="1">
      <c r="A8" s="290"/>
      <c r="B8" s="290"/>
      <c r="C8" s="311"/>
      <c r="D8" s="311"/>
      <c r="E8" s="293"/>
      <c r="F8" s="294"/>
      <c r="G8" s="290"/>
      <c r="H8" s="290"/>
      <c r="I8" s="290"/>
      <c r="J8" s="290"/>
      <c r="K8" s="296"/>
      <c r="L8" s="296"/>
      <c r="M8" s="296"/>
      <c r="N8" s="296"/>
      <c r="O8" s="296"/>
      <c r="P8" s="296"/>
      <c r="Q8" s="296"/>
      <c r="R8" s="296" t="s">
        <v>70</v>
      </c>
      <c r="S8" s="301"/>
    </row>
    <row r="9" spans="1:20" ht="15.75" customHeight="1">
      <c r="A9" s="290"/>
      <c r="B9" s="290"/>
      <c r="C9" s="311"/>
      <c r="D9" s="311"/>
      <c r="E9" s="293"/>
      <c r="F9" s="294"/>
      <c r="G9" s="290"/>
      <c r="H9" s="290"/>
      <c r="I9" s="290"/>
      <c r="J9" s="290"/>
      <c r="K9" s="296"/>
      <c r="L9" s="296"/>
      <c r="M9" s="296"/>
      <c r="N9" s="296"/>
      <c r="O9" s="296"/>
      <c r="P9" s="296"/>
      <c r="Q9" s="296"/>
      <c r="R9" s="296" t="s">
        <v>70</v>
      </c>
      <c r="S9" s="301"/>
    </row>
    <row r="10" spans="1:20" ht="15.75" customHeight="1">
      <c r="A10" s="290"/>
      <c r="B10" s="290"/>
      <c r="C10" s="311"/>
      <c r="D10" s="311"/>
      <c r="E10" s="293"/>
      <c r="F10" s="294"/>
      <c r="G10" s="290"/>
      <c r="H10" s="290"/>
      <c r="I10" s="290"/>
      <c r="J10" s="290"/>
      <c r="K10" s="296"/>
      <c r="L10" s="296"/>
      <c r="M10" s="296"/>
      <c r="N10" s="296"/>
      <c r="O10" s="296"/>
      <c r="P10" s="296"/>
      <c r="Q10" s="296"/>
      <c r="R10" s="296" t="s">
        <v>70</v>
      </c>
      <c r="S10" s="301"/>
    </row>
    <row r="11" spans="1:20" ht="15.75" customHeight="1">
      <c r="A11" s="290"/>
      <c r="B11" s="290"/>
      <c r="C11" s="311"/>
      <c r="D11" s="311"/>
      <c r="E11" s="293"/>
      <c r="F11" s="294"/>
      <c r="G11" s="290"/>
      <c r="H11" s="290"/>
      <c r="I11" s="290"/>
      <c r="J11" s="290"/>
      <c r="K11" s="296"/>
      <c r="L11" s="296"/>
      <c r="M11" s="296"/>
      <c r="N11" s="296"/>
      <c r="O11" s="296"/>
      <c r="P11" s="296"/>
      <c r="Q11" s="296"/>
      <c r="R11" s="296" t="s">
        <v>70</v>
      </c>
      <c r="S11" s="301"/>
    </row>
    <row r="12" spans="1:20" ht="15.75" customHeight="1">
      <c r="A12" s="290"/>
      <c r="B12" s="290"/>
      <c r="C12" s="311"/>
      <c r="D12" s="311"/>
      <c r="E12" s="293"/>
      <c r="F12" s="294"/>
      <c r="G12" s="290"/>
      <c r="H12" s="290"/>
      <c r="I12" s="290"/>
      <c r="J12" s="290"/>
      <c r="K12" s="296"/>
      <c r="L12" s="296"/>
      <c r="M12" s="296"/>
      <c r="N12" s="296"/>
      <c r="O12" s="296"/>
      <c r="P12" s="296"/>
      <c r="Q12" s="296"/>
      <c r="R12" s="296" t="s">
        <v>70</v>
      </c>
      <c r="S12" s="301"/>
    </row>
    <row r="13" spans="1:20" ht="15.75" customHeight="1">
      <c r="A13" s="290"/>
      <c r="B13" s="290"/>
      <c r="C13" s="311"/>
      <c r="D13" s="311"/>
      <c r="E13" s="293"/>
      <c r="F13" s="294"/>
      <c r="G13" s="290"/>
      <c r="H13" s="290"/>
      <c r="I13" s="290"/>
      <c r="J13" s="290"/>
      <c r="K13" s="296"/>
      <c r="L13" s="296"/>
      <c r="M13" s="296"/>
      <c r="N13" s="296"/>
      <c r="O13" s="296"/>
      <c r="P13" s="296"/>
      <c r="Q13" s="296"/>
      <c r="R13" s="296"/>
      <c r="S13" s="301"/>
    </row>
    <row r="14" spans="1:20" ht="15.75" customHeight="1">
      <c r="A14" s="290"/>
      <c r="B14" s="290"/>
      <c r="C14" s="311"/>
      <c r="D14" s="311"/>
      <c r="E14" s="293"/>
      <c r="F14" s="294"/>
      <c r="G14" s="290"/>
      <c r="H14" s="290"/>
      <c r="I14" s="290"/>
      <c r="J14" s="290"/>
      <c r="K14" s="296"/>
      <c r="L14" s="296"/>
      <c r="M14" s="296"/>
      <c r="N14" s="296"/>
      <c r="O14" s="296"/>
      <c r="P14" s="296"/>
      <c r="Q14" s="296"/>
      <c r="R14" s="296"/>
      <c r="S14" s="301"/>
    </row>
    <row r="15" spans="1:20" ht="15.75" customHeight="1">
      <c r="A15" s="290"/>
      <c r="B15" s="290"/>
      <c r="C15" s="311"/>
      <c r="D15" s="311"/>
      <c r="E15" s="293"/>
      <c r="F15" s="294"/>
      <c r="G15" s="290"/>
      <c r="H15" s="290"/>
      <c r="I15" s="290"/>
      <c r="J15" s="290"/>
      <c r="K15" s="296"/>
      <c r="L15" s="296"/>
      <c r="M15" s="296"/>
      <c r="N15" s="296"/>
      <c r="O15" s="296"/>
      <c r="P15" s="296"/>
      <c r="Q15" s="296"/>
      <c r="R15" s="296"/>
      <c r="S15" s="301"/>
    </row>
    <row r="16" spans="1:20" ht="15.75" customHeight="1">
      <c r="A16" s="290"/>
      <c r="B16" s="290"/>
      <c r="C16" s="311"/>
      <c r="D16" s="311"/>
      <c r="E16" s="293"/>
      <c r="F16" s="294"/>
      <c r="G16" s="290"/>
      <c r="H16" s="290"/>
      <c r="I16" s="290"/>
      <c r="J16" s="290"/>
      <c r="K16" s="296"/>
      <c r="L16" s="296"/>
      <c r="M16" s="296"/>
      <c r="N16" s="296"/>
      <c r="O16" s="296"/>
      <c r="P16" s="296"/>
      <c r="Q16" s="296"/>
      <c r="R16" s="296"/>
      <c r="S16" s="301"/>
    </row>
    <row r="17" spans="1:19" ht="15.75" customHeight="1">
      <c r="A17" s="290"/>
      <c r="B17" s="290"/>
      <c r="C17" s="311"/>
      <c r="D17" s="311"/>
      <c r="E17" s="293"/>
      <c r="F17" s="294"/>
      <c r="G17" s="290"/>
      <c r="H17" s="290"/>
      <c r="I17" s="290"/>
      <c r="J17" s="290"/>
      <c r="K17" s="296"/>
      <c r="L17" s="296"/>
      <c r="M17" s="296"/>
      <c r="N17" s="296"/>
      <c r="O17" s="296"/>
      <c r="P17" s="296"/>
      <c r="Q17" s="296"/>
      <c r="R17" s="296" t="s">
        <v>70</v>
      </c>
      <c r="S17" s="301"/>
    </row>
    <row r="18" spans="1:19" ht="15.75" customHeight="1">
      <c r="A18" s="290"/>
      <c r="B18" s="290"/>
      <c r="C18" s="311"/>
      <c r="D18" s="311"/>
      <c r="E18" s="293"/>
      <c r="F18" s="294"/>
      <c r="G18" s="290"/>
      <c r="H18" s="290"/>
      <c r="I18" s="290"/>
      <c r="J18" s="290"/>
      <c r="K18" s="296"/>
      <c r="L18" s="296"/>
      <c r="M18" s="296"/>
      <c r="N18" s="296"/>
      <c r="O18" s="296"/>
      <c r="P18" s="296"/>
      <c r="Q18" s="296"/>
      <c r="R18" s="296"/>
      <c r="S18" s="301"/>
    </row>
    <row r="19" spans="1:19" ht="15.75" customHeight="1">
      <c r="A19" s="290"/>
      <c r="B19" s="290"/>
      <c r="C19" s="311"/>
      <c r="D19" s="311"/>
      <c r="E19" s="293"/>
      <c r="F19" s="294"/>
      <c r="G19" s="290"/>
      <c r="H19" s="290"/>
      <c r="I19" s="290"/>
      <c r="J19" s="290"/>
      <c r="K19" s="296"/>
      <c r="L19" s="296"/>
      <c r="M19" s="296"/>
      <c r="N19" s="296"/>
      <c r="O19" s="296"/>
      <c r="P19" s="296"/>
      <c r="Q19" s="296"/>
      <c r="R19" s="296"/>
      <c r="S19" s="301"/>
    </row>
    <row r="20" spans="1:19" ht="15.75" customHeight="1">
      <c r="A20" s="290"/>
      <c r="B20" s="290"/>
      <c r="C20" s="311"/>
      <c r="D20" s="311"/>
      <c r="E20" s="293"/>
      <c r="F20" s="294"/>
      <c r="G20" s="290"/>
      <c r="H20" s="290"/>
      <c r="I20" s="290"/>
      <c r="J20" s="290"/>
      <c r="K20" s="296"/>
      <c r="L20" s="296"/>
      <c r="M20" s="296"/>
      <c r="N20" s="296"/>
      <c r="O20" s="296"/>
      <c r="P20" s="296"/>
      <c r="Q20" s="296"/>
      <c r="R20" s="296" t="s">
        <v>70</v>
      </c>
      <c r="S20" s="301"/>
    </row>
    <row r="21" spans="1:19" ht="15.75" customHeight="1">
      <c r="A21" s="290"/>
      <c r="B21" s="290"/>
      <c r="C21" s="311"/>
      <c r="D21" s="311"/>
      <c r="E21" s="293"/>
      <c r="F21" s="294"/>
      <c r="G21" s="290"/>
      <c r="H21" s="290"/>
      <c r="I21" s="290"/>
      <c r="J21" s="290"/>
      <c r="K21" s="296"/>
      <c r="L21" s="296"/>
      <c r="M21" s="296"/>
      <c r="N21" s="296"/>
      <c r="O21" s="296"/>
      <c r="P21" s="296"/>
      <c r="Q21" s="296"/>
      <c r="R21" s="296" t="s">
        <v>70</v>
      </c>
      <c r="S21" s="301"/>
    </row>
    <row r="22" spans="1:19" ht="15.75" customHeight="1">
      <c r="A22" s="290"/>
      <c r="B22" s="290"/>
      <c r="C22" s="311"/>
      <c r="D22" s="311"/>
      <c r="E22" s="293"/>
      <c r="F22" s="294"/>
      <c r="G22" s="290"/>
      <c r="H22" s="290"/>
      <c r="I22" s="290"/>
      <c r="J22" s="290"/>
      <c r="K22" s="296"/>
      <c r="L22" s="296"/>
      <c r="M22" s="296"/>
      <c r="N22" s="296"/>
      <c r="O22" s="296"/>
      <c r="P22" s="296"/>
      <c r="Q22" s="296"/>
      <c r="R22" s="296" t="s">
        <v>70</v>
      </c>
      <c r="S22" s="301"/>
    </row>
    <row r="23" spans="1:19" ht="15.75" customHeight="1">
      <c r="A23" s="290"/>
      <c r="B23" s="290"/>
      <c r="C23" s="311"/>
      <c r="D23" s="311"/>
      <c r="E23" s="293"/>
      <c r="F23" s="294"/>
      <c r="G23" s="290"/>
      <c r="H23" s="290"/>
      <c r="I23" s="290"/>
      <c r="J23" s="290"/>
      <c r="K23" s="296"/>
      <c r="L23" s="296"/>
      <c r="M23" s="296"/>
      <c r="N23" s="296"/>
      <c r="O23" s="296"/>
      <c r="P23" s="296"/>
      <c r="Q23" s="296"/>
      <c r="R23" s="296" t="s">
        <v>70</v>
      </c>
      <c r="S23" s="301"/>
    </row>
    <row r="24" spans="1:19" ht="15.75" customHeight="1">
      <c r="A24" s="290"/>
      <c r="B24" s="290"/>
      <c r="C24" s="311"/>
      <c r="D24" s="311"/>
      <c r="E24" s="293"/>
      <c r="F24" s="294"/>
      <c r="G24" s="290"/>
      <c r="H24" s="290"/>
      <c r="I24" s="290"/>
      <c r="J24" s="290"/>
      <c r="K24" s="296"/>
      <c r="L24" s="296"/>
      <c r="M24" s="296"/>
      <c r="N24" s="296"/>
      <c r="O24" s="296"/>
      <c r="P24" s="296"/>
      <c r="Q24" s="296"/>
      <c r="R24" s="296" t="s">
        <v>70</v>
      </c>
      <c r="S24" s="301"/>
    </row>
    <row r="25" spans="1:19" ht="15.75" customHeight="1">
      <c r="A25" s="290"/>
      <c r="B25" s="290"/>
      <c r="C25" s="311"/>
      <c r="D25" s="311"/>
      <c r="E25" s="293"/>
      <c r="F25" s="294"/>
      <c r="G25" s="290"/>
      <c r="H25" s="290"/>
      <c r="I25" s="290"/>
      <c r="J25" s="290"/>
      <c r="K25" s="296"/>
      <c r="L25" s="296"/>
      <c r="M25" s="296"/>
      <c r="N25" s="296"/>
      <c r="O25" s="296"/>
      <c r="P25" s="296"/>
      <c r="Q25" s="296"/>
      <c r="R25" s="296" t="s">
        <v>70</v>
      </c>
      <c r="S25" s="301"/>
    </row>
    <row r="26" spans="1:19" ht="15.75" customHeight="1">
      <c r="A26" s="290"/>
      <c r="B26" s="290"/>
      <c r="C26" s="311"/>
      <c r="D26" s="311"/>
      <c r="E26" s="293"/>
      <c r="F26" s="294"/>
      <c r="G26" s="290"/>
      <c r="H26" s="290"/>
      <c r="I26" s="290"/>
      <c r="J26" s="290"/>
      <c r="K26" s="296"/>
      <c r="L26" s="296"/>
      <c r="M26" s="296"/>
      <c r="N26" s="296"/>
      <c r="O26" s="296"/>
      <c r="P26" s="296"/>
      <c r="Q26" s="296"/>
      <c r="R26" s="296"/>
      <c r="S26" s="301"/>
    </row>
    <row r="27" spans="1:19" ht="15.75" customHeight="1">
      <c r="A27" s="860" t="s">
        <v>36</v>
      </c>
      <c r="B27" s="864"/>
      <c r="C27" s="864"/>
      <c r="D27" s="864"/>
      <c r="E27" s="865"/>
      <c r="F27" s="294"/>
      <c r="G27" s="290"/>
      <c r="H27" s="290"/>
      <c r="I27" s="290"/>
      <c r="J27" s="290"/>
      <c r="K27" s="296"/>
      <c r="L27" s="296"/>
      <c r="M27" s="296">
        <f>SUM(M7:M26)</f>
        <v>0</v>
      </c>
      <c r="N27" s="296"/>
      <c r="O27" s="296">
        <f>SUM(O7:O26)</f>
        <v>0</v>
      </c>
      <c r="P27" s="296">
        <f>SUM(P7:P26)</f>
        <v>0</v>
      </c>
      <c r="Q27" s="296"/>
      <c r="R27" s="296" t="s">
        <v>70</v>
      </c>
      <c r="S27" s="301"/>
    </row>
    <row r="28" spans="1:19" ht="15.75" customHeight="1">
      <c r="A28" s="101" t="e">
        <f>#REF!&amp;#REF!</f>
        <v>#REF!</v>
      </c>
      <c r="B28" s="129"/>
      <c r="C28" s="129"/>
      <c r="D28" s="129"/>
      <c r="N28" s="129"/>
      <c r="O28" s="129" t="e">
        <f>"评估人员："&amp;#REF!</f>
        <v>#REF!</v>
      </c>
    </row>
    <row r="29" spans="1:19" ht="15.75" customHeight="1">
      <c r="A29" s="101" t="e">
        <f>CONCATENATE(#REF!,#REF!,#REF!,#REF!,#REF!,#REF!,#REF!)</f>
        <v>#REF!</v>
      </c>
    </row>
  </sheetData>
  <mergeCells count="5">
    <mergeCell ref="A27:E27"/>
    <mergeCell ref="A2:S2"/>
    <mergeCell ref="A3:S3"/>
    <mergeCell ref="A5:E5"/>
    <mergeCell ref="A4:S4"/>
  </mergeCells>
  <phoneticPr fontId="6" type="noConversion"/>
  <hyperlinks>
    <hyperlink ref="A1" location="索引目录!C35" display="固定资产"/>
    <hyperlink ref="B1" location="分类汇总!B25" display="固定资产"/>
  </hyperlinks>
  <printOptions horizontalCentered="1"/>
  <pageMargins left="0.35433070866141736" right="0.35433070866141736" top="0.78740157480314965" bottom="0.78740157480314965" header="1.17" footer="0.51181102362204722"/>
  <pageSetup paperSize="9" scale="84" orientation="landscape" r:id="rId1"/>
  <headerFooter alignWithMargins="0">
    <oddHeader>&amp;R&amp;"宋体,常规"&amp;10表&amp;"Times New Roman,常规"4-5-4
&amp;"宋体,常规"共&amp;"Times New Roman,常规"&amp;N&amp;"宋体,常规"页第&amp;"Times New Roman,常规"&amp;P&amp;"宋体,常规"页</oddHeader>
  </headerFooter>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AP51"/>
  <sheetViews>
    <sheetView workbookViewId="0">
      <pane xSplit="17" ySplit="6" topLeftCell="R37" activePane="bottomRight" state="frozen"/>
      <selection activeCell="AE46" sqref="AE46"/>
      <selection pane="topRight" activeCell="AE46" sqref="AE46"/>
      <selection pane="bottomLeft" activeCell="AE46" sqref="AE46"/>
      <selection pane="bottomRight" activeCell="AE46" sqref="AE46"/>
    </sheetView>
  </sheetViews>
  <sheetFormatPr defaultRowHeight="15.75" customHeight="1" outlineLevelCol="1"/>
  <cols>
    <col min="1" max="1" width="5" style="4" customWidth="1"/>
    <col min="2" max="2" width="8.875" style="4" customWidth="1" outlineLevel="1"/>
    <col min="3" max="3" width="11.5" style="4" customWidth="1"/>
    <col min="4" max="4" width="20.375" style="4" customWidth="1"/>
    <col min="5" max="5" width="9" style="4" hidden="1" customWidth="1" outlineLevel="1"/>
    <col min="6" max="6" width="11.375" style="4" hidden="1" customWidth="1" outlineLevel="1"/>
    <col min="7" max="7" width="8.625" style="4" customWidth="1" collapsed="1"/>
    <col min="8" max="8" width="5.75" style="4" hidden="1" customWidth="1" outlineLevel="1"/>
    <col min="9" max="9" width="5.5" style="4" hidden="1" customWidth="1" outlineLevel="1"/>
    <col min="10" max="10" width="5.5" style="138" hidden="1" customWidth="1" outlineLevel="1"/>
    <col min="11" max="12" width="5" style="138" hidden="1" customWidth="1" outlineLevel="1"/>
    <col min="13" max="15" width="5" style="4" hidden="1" customWidth="1" outlineLevel="1"/>
    <col min="16" max="16" width="5.25" style="4" hidden="1" customWidth="1" outlineLevel="1"/>
    <col min="17" max="17" width="5" style="4" hidden="1" customWidth="1" outlineLevel="1"/>
    <col min="18" max="18" width="7.5" style="4" customWidth="1" collapsed="1"/>
    <col min="19" max="19" width="4.5" style="4" customWidth="1"/>
    <col min="20" max="20" width="8" style="4" customWidth="1"/>
    <col min="21" max="21" width="7.75" style="4" customWidth="1"/>
    <col min="22" max="22" width="10" style="4" hidden="1" customWidth="1" outlineLevel="1"/>
    <col min="23" max="23" width="8" style="4" hidden="1" customWidth="1" outlineLevel="1"/>
    <col min="24" max="26" width="5.125" style="4" hidden="1" customWidth="1" outlineLevel="1"/>
    <col min="27" max="27" width="11" style="4" customWidth="1" collapsed="1"/>
    <col min="28" max="28" width="10" style="4" customWidth="1"/>
    <col min="29" max="29" width="10.25" style="4" customWidth="1" outlineLevel="1"/>
    <col min="30" max="30" width="5.375" style="4" customWidth="1" outlineLevel="1"/>
    <col min="31" max="31" width="10.25" style="4" customWidth="1" outlineLevel="1"/>
    <col min="32" max="32" width="6.125" style="4" customWidth="1" outlineLevel="1"/>
    <col min="33" max="33" width="7.125" style="4" customWidth="1"/>
    <col min="34" max="34" width="5.625" style="4" customWidth="1"/>
    <col min="35" max="35" width="5.875" style="4" hidden="1" customWidth="1" outlineLevel="1"/>
    <col min="36" max="36" width="10.25" style="4" hidden="1" customWidth="1" outlineLevel="1"/>
    <col min="37" max="37" width="5.625" style="4" hidden="1" customWidth="1" outlineLevel="1"/>
    <col min="38" max="38" width="3.5" style="4" customWidth="1" collapsed="1"/>
    <col min="39" max="40" width="9" style="4"/>
    <col min="41" max="41" width="11.875" style="4" customWidth="1"/>
    <col min="42" max="16384" width="9" style="4"/>
  </cols>
  <sheetData>
    <row r="1" spans="1:42" ht="8.25" customHeight="1">
      <c r="A1" s="272" t="s">
        <v>130</v>
      </c>
      <c r="B1" s="272"/>
      <c r="C1" s="196" t="s">
        <v>131</v>
      </c>
      <c r="D1" s="1"/>
      <c r="E1" s="1"/>
      <c r="F1" s="1"/>
      <c r="G1" s="1"/>
      <c r="H1" s="1"/>
      <c r="I1" s="1"/>
      <c r="J1" s="197"/>
      <c r="K1" s="197"/>
      <c r="L1" s="197"/>
      <c r="M1" s="1"/>
      <c r="N1" s="1"/>
      <c r="O1" s="1"/>
      <c r="P1" s="1"/>
      <c r="Q1" s="1"/>
      <c r="R1" s="1"/>
      <c r="S1" s="1"/>
      <c r="T1" s="1"/>
      <c r="U1" s="1"/>
      <c r="V1" s="1"/>
      <c r="W1" s="1"/>
      <c r="X1" s="1"/>
      <c r="Y1" s="1"/>
      <c r="Z1" s="1"/>
      <c r="AA1" s="1"/>
      <c r="AB1" s="1"/>
      <c r="AC1" s="1"/>
      <c r="AD1" s="1"/>
      <c r="AE1" s="1"/>
      <c r="AF1" s="1"/>
      <c r="AG1" s="1"/>
      <c r="AH1" s="1"/>
      <c r="AI1" s="1"/>
    </row>
    <row r="2" spans="1:42" s="114" customFormat="1" ht="30" customHeight="1">
      <c r="A2" s="790" t="s">
        <v>884</v>
      </c>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159"/>
      <c r="AI2" s="159"/>
    </row>
    <row r="3" spans="1:42" ht="14.1" customHeight="1">
      <c r="A3" s="792" t="e">
        <f>CONCATENATE(#REF!,#REF!,#REF!,#REF!,#REF!,#REF!,#REF!)</f>
        <v>#REF!</v>
      </c>
      <c r="B3" s="792"/>
      <c r="C3" s="792"/>
      <c r="D3" s="792"/>
      <c r="E3" s="792"/>
      <c r="F3" s="792"/>
      <c r="G3" s="792"/>
      <c r="H3" s="792"/>
      <c r="I3" s="792"/>
      <c r="J3" s="792"/>
      <c r="K3" s="792"/>
      <c r="L3" s="792"/>
      <c r="M3" s="792"/>
      <c r="N3" s="792"/>
      <c r="O3" s="792"/>
      <c r="P3" s="792"/>
      <c r="Q3" s="792"/>
      <c r="R3" s="792"/>
      <c r="S3" s="792"/>
      <c r="T3" s="792"/>
      <c r="U3" s="792"/>
      <c r="V3" s="792"/>
      <c r="W3" s="792"/>
      <c r="X3" s="792"/>
      <c r="Y3" s="792"/>
      <c r="Z3" s="792"/>
      <c r="AA3" s="792"/>
      <c r="AB3" s="792"/>
      <c r="AC3" s="792"/>
      <c r="AD3" s="792"/>
      <c r="AE3" s="792"/>
      <c r="AF3" s="792"/>
      <c r="AG3" s="792"/>
      <c r="AH3" s="792"/>
      <c r="AI3" s="129"/>
    </row>
    <row r="4" spans="1:42" ht="15.75" customHeight="1">
      <c r="A4" s="115" t="e">
        <f>#REF!&amp;#REF!</f>
        <v>#REF!</v>
      </c>
      <c r="B4" s="115"/>
      <c r="AH4" s="106" t="s">
        <v>3</v>
      </c>
    </row>
    <row r="5" spans="1:42" s="1" customFormat="1" ht="15.75" customHeight="1">
      <c r="A5" s="815" t="s">
        <v>4</v>
      </c>
      <c r="B5" s="817" t="s">
        <v>938</v>
      </c>
      <c r="C5" s="815" t="s">
        <v>282</v>
      </c>
      <c r="D5" s="815" t="s">
        <v>283</v>
      </c>
      <c r="E5" s="886" t="s">
        <v>284</v>
      </c>
      <c r="F5" s="888" t="s">
        <v>415</v>
      </c>
      <c r="G5" s="843" t="s">
        <v>255</v>
      </c>
      <c r="H5" s="888" t="s">
        <v>79</v>
      </c>
      <c r="I5" s="888" t="s">
        <v>80</v>
      </c>
      <c r="J5" s="888" t="s">
        <v>559</v>
      </c>
      <c r="K5" s="888" t="s">
        <v>704</v>
      </c>
      <c r="L5" s="888" t="s">
        <v>560</v>
      </c>
      <c r="M5" s="886" t="s">
        <v>256</v>
      </c>
      <c r="N5" s="886" t="s">
        <v>81</v>
      </c>
      <c r="O5" s="886" t="s">
        <v>82</v>
      </c>
      <c r="P5" s="886" t="s">
        <v>88</v>
      </c>
      <c r="Q5" s="886" t="s">
        <v>285</v>
      </c>
      <c r="R5" s="837" t="s">
        <v>326</v>
      </c>
      <c r="S5" s="856" t="s">
        <v>286</v>
      </c>
      <c r="T5" s="856" t="s">
        <v>334</v>
      </c>
      <c r="U5" s="837" t="s">
        <v>287</v>
      </c>
      <c r="V5" s="821" t="s">
        <v>426</v>
      </c>
      <c r="W5" s="822"/>
      <c r="X5" s="823"/>
      <c r="Y5" s="821" t="s">
        <v>710</v>
      </c>
      <c r="Z5" s="890"/>
      <c r="AA5" s="837" t="s">
        <v>706</v>
      </c>
      <c r="AB5" s="838"/>
      <c r="AC5" s="837" t="s">
        <v>0</v>
      </c>
      <c r="AD5" s="838"/>
      <c r="AE5" s="838"/>
      <c r="AF5" s="837" t="s">
        <v>20</v>
      </c>
      <c r="AG5" s="817" t="s">
        <v>281</v>
      </c>
      <c r="AH5" s="837" t="s">
        <v>72</v>
      </c>
      <c r="AI5" s="886" t="s">
        <v>84</v>
      </c>
      <c r="AJ5" s="893" t="s">
        <v>423</v>
      </c>
      <c r="AK5" s="891" t="s">
        <v>929</v>
      </c>
    </row>
    <row r="6" spans="1:42" s="116" customFormat="1" ht="24" customHeight="1">
      <c r="A6" s="816"/>
      <c r="B6" s="827"/>
      <c r="C6" s="816"/>
      <c r="D6" s="816"/>
      <c r="E6" s="887"/>
      <c r="F6" s="889"/>
      <c r="G6" s="844"/>
      <c r="H6" s="889"/>
      <c r="I6" s="889"/>
      <c r="J6" s="889"/>
      <c r="K6" s="889"/>
      <c r="L6" s="889"/>
      <c r="M6" s="887"/>
      <c r="N6" s="887"/>
      <c r="O6" s="887"/>
      <c r="P6" s="887"/>
      <c r="Q6" s="887"/>
      <c r="R6" s="816"/>
      <c r="S6" s="857"/>
      <c r="T6" s="857"/>
      <c r="U6" s="816"/>
      <c r="V6" s="102" t="s">
        <v>270</v>
      </c>
      <c r="W6" s="102" t="s">
        <v>939</v>
      </c>
      <c r="X6" s="473" t="s">
        <v>933</v>
      </c>
      <c r="Y6" s="102" t="s">
        <v>270</v>
      </c>
      <c r="Z6" s="102" t="s">
        <v>271</v>
      </c>
      <c r="AA6" s="102" t="s">
        <v>270</v>
      </c>
      <c r="AB6" s="102" t="s">
        <v>271</v>
      </c>
      <c r="AC6" s="102" t="s">
        <v>270</v>
      </c>
      <c r="AD6" s="647" t="s">
        <v>2158</v>
      </c>
      <c r="AE6" s="102" t="s">
        <v>271</v>
      </c>
      <c r="AF6" s="816"/>
      <c r="AG6" s="818"/>
      <c r="AH6" s="816"/>
      <c r="AI6" s="887"/>
      <c r="AJ6" s="894"/>
      <c r="AK6" s="892"/>
      <c r="AM6" s="649" t="s">
        <v>2131</v>
      </c>
      <c r="AN6" s="649" t="s">
        <v>2132</v>
      </c>
      <c r="AO6" s="116" t="s">
        <v>2133</v>
      </c>
      <c r="AP6" s="649" t="s">
        <v>2134</v>
      </c>
    </row>
    <row r="7" spans="1:42" s="638" customFormat="1" ht="15.75" customHeight="1">
      <c r="A7" s="648">
        <v>1</v>
      </c>
      <c r="B7" s="650">
        <v>1573282</v>
      </c>
      <c r="C7" s="633"/>
      <c r="D7" s="633" t="s">
        <v>1115</v>
      </c>
      <c r="E7" s="633"/>
      <c r="F7" s="633"/>
      <c r="G7" s="634" t="s">
        <v>2136</v>
      </c>
      <c r="H7" s="525"/>
      <c r="I7" s="525"/>
      <c r="J7" s="525"/>
      <c r="K7" s="525"/>
      <c r="L7" s="525"/>
      <c r="M7" s="525"/>
      <c r="N7" s="525"/>
      <c r="O7" s="525"/>
      <c r="P7" s="475"/>
      <c r="Q7" s="525"/>
      <c r="R7" s="580">
        <v>40940</v>
      </c>
      <c r="S7" s="588" t="s">
        <v>2137</v>
      </c>
      <c r="T7" s="651">
        <f>8.16*4.2</f>
        <v>34.270000000000003</v>
      </c>
      <c r="U7" s="582">
        <f>AA7/T7</f>
        <v>1534.77</v>
      </c>
      <c r="V7" s="582">
        <v>52596.5</v>
      </c>
      <c r="W7" s="582">
        <v>0</v>
      </c>
      <c r="X7" s="582"/>
      <c r="Y7" s="582"/>
      <c r="Z7" s="582"/>
      <c r="AA7" s="582">
        <f t="shared" ref="AA7:AA40" si="0">V7+Y7</f>
        <v>52596.5</v>
      </c>
      <c r="AB7" s="582">
        <f t="shared" ref="AB7:AB40" si="1">W7+Z7</f>
        <v>0</v>
      </c>
      <c r="AC7" s="582">
        <f t="shared" ref="AC7:AC40" si="2">AP7</f>
        <v>-10000</v>
      </c>
      <c r="AD7" s="584"/>
      <c r="AE7" s="582">
        <f t="shared" ref="AE7:AE40" si="3">AC7</f>
        <v>-10000</v>
      </c>
      <c r="AF7" s="582" t="str">
        <f t="shared" ref="AF7:AF40" si="4">IF(AB7=0,"",(AE7-AB7)/AB7*100)</f>
        <v/>
      </c>
      <c r="AG7" s="582">
        <v>0</v>
      </c>
      <c r="AH7" s="474"/>
      <c r="AI7" s="475"/>
      <c r="AJ7" s="522"/>
      <c r="AK7" s="522"/>
      <c r="AM7" s="652">
        <v>11901</v>
      </c>
      <c r="AN7" s="638">
        <v>1.58</v>
      </c>
      <c r="AO7" s="638">
        <f t="shared" ref="AO7:AO40" si="5">AN7*1200</f>
        <v>1896</v>
      </c>
      <c r="AP7" s="638">
        <f t="shared" ref="AP7:AP40" si="6">ROUND(AO7-AM7,-2)</f>
        <v>-10000</v>
      </c>
    </row>
    <row r="8" spans="1:42" s="638" customFormat="1" ht="15.75" customHeight="1">
      <c r="A8" s="648">
        <v>2</v>
      </c>
      <c r="B8" s="650">
        <v>1573283</v>
      </c>
      <c r="C8" s="633"/>
      <c r="D8" s="633" t="s">
        <v>1116</v>
      </c>
      <c r="E8" s="633"/>
      <c r="F8" s="633"/>
      <c r="G8" s="634" t="s">
        <v>2136</v>
      </c>
      <c r="H8" s="525"/>
      <c r="I8" s="525"/>
      <c r="J8" s="525"/>
      <c r="K8" s="525"/>
      <c r="L8" s="525"/>
      <c r="M8" s="525"/>
      <c r="N8" s="525"/>
      <c r="O8" s="525"/>
      <c r="P8" s="475"/>
      <c r="Q8" s="525"/>
      <c r="R8" s="580">
        <v>40941</v>
      </c>
      <c r="S8" s="588" t="s">
        <v>2137</v>
      </c>
      <c r="T8" s="651">
        <f>8.16*6</f>
        <v>48.96</v>
      </c>
      <c r="U8" s="582">
        <f t="shared" ref="U8:U40" si="7">AA8/T8</f>
        <v>1534.77</v>
      </c>
      <c r="V8" s="582">
        <v>75142.23</v>
      </c>
      <c r="W8" s="582">
        <v>0</v>
      </c>
      <c r="X8" s="582"/>
      <c r="Y8" s="582"/>
      <c r="Z8" s="582"/>
      <c r="AA8" s="582">
        <f t="shared" si="0"/>
        <v>75142.23</v>
      </c>
      <c r="AB8" s="582">
        <f t="shared" si="1"/>
        <v>0</v>
      </c>
      <c r="AC8" s="582">
        <f t="shared" si="2"/>
        <v>-14300</v>
      </c>
      <c r="AD8" s="584"/>
      <c r="AE8" s="582">
        <f t="shared" si="3"/>
        <v>-14300</v>
      </c>
      <c r="AF8" s="582" t="str">
        <f t="shared" si="4"/>
        <v/>
      </c>
      <c r="AG8" s="582">
        <v>0</v>
      </c>
      <c r="AH8" s="474"/>
      <c r="AI8" s="475"/>
      <c r="AJ8" s="522"/>
      <c r="AK8" s="522"/>
      <c r="AM8" s="652">
        <v>17002</v>
      </c>
      <c r="AN8" s="638">
        <v>2.25</v>
      </c>
      <c r="AO8" s="638">
        <f t="shared" si="5"/>
        <v>2700</v>
      </c>
      <c r="AP8" s="638">
        <f t="shared" si="6"/>
        <v>-14300</v>
      </c>
    </row>
    <row r="9" spans="1:42" s="638" customFormat="1" ht="15.75" customHeight="1">
      <c r="A9" s="648">
        <v>3</v>
      </c>
      <c r="B9" s="650">
        <v>1574732</v>
      </c>
      <c r="C9" s="633" t="s">
        <v>2138</v>
      </c>
      <c r="D9" s="671" t="s">
        <v>2309</v>
      </c>
      <c r="E9" s="633"/>
      <c r="F9" s="633"/>
      <c r="G9" s="634" t="s">
        <v>2136</v>
      </c>
      <c r="H9" s="525"/>
      <c r="I9" s="525"/>
      <c r="J9" s="525"/>
      <c r="K9" s="525"/>
      <c r="L9" s="525"/>
      <c r="M9" s="525"/>
      <c r="N9" s="525"/>
      <c r="O9" s="525"/>
      <c r="P9" s="475"/>
      <c r="Q9" s="525"/>
      <c r="R9" s="580">
        <v>40942</v>
      </c>
      <c r="S9" s="588" t="s">
        <v>1063</v>
      </c>
      <c r="T9" s="640">
        <v>776.4</v>
      </c>
      <c r="U9" s="582">
        <f t="shared" si="7"/>
        <v>1059.29</v>
      </c>
      <c r="V9" s="582">
        <v>822435</v>
      </c>
      <c r="W9" s="582">
        <v>0</v>
      </c>
      <c r="X9" s="582"/>
      <c r="Y9" s="582"/>
      <c r="Z9" s="582"/>
      <c r="AA9" s="582">
        <f t="shared" si="0"/>
        <v>822435</v>
      </c>
      <c r="AB9" s="582">
        <f t="shared" si="1"/>
        <v>0</v>
      </c>
      <c r="AC9" s="582">
        <f t="shared" si="2"/>
        <v>-247200</v>
      </c>
      <c r="AD9" s="584"/>
      <c r="AE9" s="582">
        <f t="shared" si="3"/>
        <v>-247200</v>
      </c>
      <c r="AF9" s="582" t="str">
        <f t="shared" si="4"/>
        <v/>
      </c>
      <c r="AG9" s="582">
        <v>0</v>
      </c>
      <c r="AH9" s="474"/>
      <c r="AI9" s="475"/>
      <c r="AJ9" s="522"/>
      <c r="AK9" s="522"/>
      <c r="AM9" s="652">
        <v>274883</v>
      </c>
      <c r="AN9" s="638">
        <v>23.06</v>
      </c>
      <c r="AO9" s="638">
        <f t="shared" si="5"/>
        <v>27672</v>
      </c>
      <c r="AP9" s="638">
        <f t="shared" si="6"/>
        <v>-247200</v>
      </c>
    </row>
    <row r="10" spans="1:42" s="638" customFormat="1" ht="15.75" customHeight="1">
      <c r="A10" s="648">
        <v>4</v>
      </c>
      <c r="B10" s="650">
        <v>1574733</v>
      </c>
      <c r="C10" s="633" t="s">
        <v>2138</v>
      </c>
      <c r="D10" s="633" t="s">
        <v>1118</v>
      </c>
      <c r="E10" s="633"/>
      <c r="F10" s="633"/>
      <c r="G10" s="634" t="s">
        <v>2136</v>
      </c>
      <c r="H10" s="525"/>
      <c r="I10" s="525"/>
      <c r="J10" s="525"/>
      <c r="K10" s="525"/>
      <c r="L10" s="525"/>
      <c r="M10" s="525"/>
      <c r="N10" s="525"/>
      <c r="O10" s="525"/>
      <c r="P10" s="475"/>
      <c r="Q10" s="525"/>
      <c r="R10" s="580">
        <v>40943</v>
      </c>
      <c r="S10" s="588" t="s">
        <v>1063</v>
      </c>
      <c r="T10" s="640">
        <v>465</v>
      </c>
      <c r="U10" s="582">
        <f t="shared" si="7"/>
        <v>1143.18</v>
      </c>
      <c r="V10" s="582">
        <v>531578</v>
      </c>
      <c r="W10" s="582">
        <v>0</v>
      </c>
      <c r="X10" s="582"/>
      <c r="Y10" s="582"/>
      <c r="Z10" s="582"/>
      <c r="AA10" s="582">
        <f t="shared" si="0"/>
        <v>531578</v>
      </c>
      <c r="AB10" s="582">
        <f t="shared" si="1"/>
        <v>0</v>
      </c>
      <c r="AC10" s="582">
        <f t="shared" si="2"/>
        <v>-135800</v>
      </c>
      <c r="AD10" s="584"/>
      <c r="AE10" s="582">
        <f t="shared" si="3"/>
        <v>-135800</v>
      </c>
      <c r="AF10" s="582" t="str">
        <f t="shared" si="4"/>
        <v/>
      </c>
      <c r="AG10" s="582">
        <v>0</v>
      </c>
      <c r="AH10" s="474"/>
      <c r="AI10" s="475"/>
      <c r="AJ10" s="522"/>
      <c r="AK10" s="522"/>
      <c r="AM10" s="652">
        <v>161475</v>
      </c>
      <c r="AN10" s="638">
        <v>21.39</v>
      </c>
      <c r="AO10" s="638">
        <f t="shared" si="5"/>
        <v>25668</v>
      </c>
      <c r="AP10" s="638">
        <f t="shared" si="6"/>
        <v>-135800</v>
      </c>
    </row>
    <row r="11" spans="1:42" s="638" customFormat="1" ht="15.75" customHeight="1">
      <c r="A11" s="648">
        <v>5</v>
      </c>
      <c r="B11" s="650">
        <v>1574734</v>
      </c>
      <c r="C11" s="633"/>
      <c r="D11" s="633" t="s">
        <v>1119</v>
      </c>
      <c r="E11" s="633"/>
      <c r="F11" s="633"/>
      <c r="G11" s="634" t="s">
        <v>2139</v>
      </c>
      <c r="H11" s="525"/>
      <c r="I11" s="525"/>
      <c r="J11" s="525"/>
      <c r="K11" s="525"/>
      <c r="L11" s="525"/>
      <c r="M11" s="525"/>
      <c r="N11" s="525"/>
      <c r="O11" s="525"/>
      <c r="P11" s="475"/>
      <c r="Q11" s="525"/>
      <c r="R11" s="580">
        <v>40944</v>
      </c>
      <c r="S11" s="588" t="s">
        <v>1063</v>
      </c>
      <c r="T11" s="653"/>
      <c r="U11" s="582"/>
      <c r="V11" s="582">
        <v>447192.99</v>
      </c>
      <c r="W11" s="582">
        <v>0</v>
      </c>
      <c r="X11" s="582"/>
      <c r="Y11" s="582"/>
      <c r="Z11" s="582"/>
      <c r="AA11" s="582">
        <f t="shared" si="0"/>
        <v>447192.99</v>
      </c>
      <c r="AB11" s="582">
        <f t="shared" si="1"/>
        <v>0</v>
      </c>
      <c r="AC11" s="582">
        <f t="shared" si="2"/>
        <v>0</v>
      </c>
      <c r="AD11" s="584"/>
      <c r="AE11" s="582">
        <f t="shared" si="3"/>
        <v>0</v>
      </c>
      <c r="AF11" s="582" t="str">
        <f t="shared" si="4"/>
        <v/>
      </c>
      <c r="AG11" s="582">
        <v>0</v>
      </c>
      <c r="AH11" s="698"/>
      <c r="AI11" s="475"/>
      <c r="AJ11" s="522"/>
      <c r="AK11" s="522"/>
      <c r="AM11" s="652">
        <v>0</v>
      </c>
      <c r="AN11" s="638">
        <v>0</v>
      </c>
      <c r="AO11" s="638">
        <f t="shared" si="5"/>
        <v>0</v>
      </c>
      <c r="AP11" s="638">
        <f t="shared" si="6"/>
        <v>0</v>
      </c>
    </row>
    <row r="12" spans="1:42" s="638" customFormat="1" ht="15.75" customHeight="1">
      <c r="A12" s="648">
        <v>6</v>
      </c>
      <c r="B12" s="650">
        <v>1574736</v>
      </c>
      <c r="C12" s="633"/>
      <c r="D12" s="633" t="s">
        <v>1121</v>
      </c>
      <c r="E12" s="633"/>
      <c r="F12" s="633"/>
      <c r="G12" s="634" t="s">
        <v>2140</v>
      </c>
      <c r="H12" s="525"/>
      <c r="I12" s="525"/>
      <c r="J12" s="525"/>
      <c r="K12" s="525"/>
      <c r="L12" s="525"/>
      <c r="M12" s="525"/>
      <c r="N12" s="525"/>
      <c r="O12" s="525"/>
      <c r="P12" s="475"/>
      <c r="Q12" s="525"/>
      <c r="R12" s="580">
        <v>41091</v>
      </c>
      <c r="S12" s="588" t="s">
        <v>1063</v>
      </c>
      <c r="T12" s="640">
        <v>80</v>
      </c>
      <c r="U12" s="582">
        <f t="shared" si="7"/>
        <v>1000</v>
      </c>
      <c r="V12" s="582">
        <v>80000</v>
      </c>
      <c r="W12" s="582">
        <v>0</v>
      </c>
      <c r="X12" s="582"/>
      <c r="Y12" s="582"/>
      <c r="Z12" s="582"/>
      <c r="AA12" s="582">
        <f t="shared" si="0"/>
        <v>80000</v>
      </c>
      <c r="AB12" s="582">
        <f t="shared" si="1"/>
        <v>0</v>
      </c>
      <c r="AC12" s="582">
        <f t="shared" si="2"/>
        <v>-19000</v>
      </c>
      <c r="AD12" s="584"/>
      <c r="AE12" s="582">
        <f t="shared" si="3"/>
        <v>-19000</v>
      </c>
      <c r="AF12" s="582" t="str">
        <f t="shared" si="4"/>
        <v/>
      </c>
      <c r="AG12" s="582">
        <v>0</v>
      </c>
      <c r="AH12" s="474"/>
      <c r="AI12" s="475"/>
      <c r="AJ12" s="522"/>
      <c r="AK12" s="522"/>
      <c r="AM12" s="652">
        <v>23345</v>
      </c>
      <c r="AN12" s="638">
        <v>3.6</v>
      </c>
      <c r="AO12" s="638">
        <f t="shared" si="5"/>
        <v>4320</v>
      </c>
      <c r="AP12" s="638">
        <f t="shared" si="6"/>
        <v>-19000</v>
      </c>
    </row>
    <row r="13" spans="1:42" s="638" customFormat="1" ht="15.75" customHeight="1">
      <c r="A13" s="648">
        <v>7</v>
      </c>
      <c r="B13" s="650">
        <v>1823816</v>
      </c>
      <c r="C13" s="633"/>
      <c r="D13" s="633" t="s">
        <v>1123</v>
      </c>
      <c r="E13" s="633"/>
      <c r="F13" s="633"/>
      <c r="G13" s="634" t="s">
        <v>2141</v>
      </c>
      <c r="H13" s="525"/>
      <c r="I13" s="525"/>
      <c r="J13" s="525"/>
      <c r="K13" s="525"/>
      <c r="L13" s="525"/>
      <c r="M13" s="525"/>
      <c r="N13" s="525"/>
      <c r="O13" s="525"/>
      <c r="P13" s="475"/>
      <c r="Q13" s="525"/>
      <c r="R13" s="580">
        <v>41913</v>
      </c>
      <c r="S13" s="588" t="s">
        <v>1063</v>
      </c>
      <c r="T13" s="640">
        <v>40</v>
      </c>
      <c r="U13" s="582">
        <f t="shared" si="7"/>
        <v>940.17</v>
      </c>
      <c r="V13" s="582">
        <v>37606.839999999997</v>
      </c>
      <c r="W13" s="582">
        <v>0</v>
      </c>
      <c r="X13" s="582"/>
      <c r="Y13" s="582"/>
      <c r="Z13" s="582"/>
      <c r="AA13" s="582">
        <f t="shared" si="0"/>
        <v>37606.839999999997</v>
      </c>
      <c r="AB13" s="582">
        <f t="shared" si="1"/>
        <v>0</v>
      </c>
      <c r="AC13" s="582">
        <f t="shared" si="2"/>
        <v>0</v>
      </c>
      <c r="AD13" s="584"/>
      <c r="AE13" s="582">
        <f t="shared" si="3"/>
        <v>0</v>
      </c>
      <c r="AF13" s="582" t="str">
        <f t="shared" si="4"/>
        <v/>
      </c>
      <c r="AG13" s="582">
        <v>0</v>
      </c>
      <c r="AH13" s="698"/>
      <c r="AI13" s="475"/>
      <c r="AJ13" s="522"/>
      <c r="AK13" s="522"/>
      <c r="AM13" s="652">
        <v>0</v>
      </c>
      <c r="AO13" s="638">
        <f t="shared" si="5"/>
        <v>0</v>
      </c>
      <c r="AP13" s="638">
        <f t="shared" si="6"/>
        <v>0</v>
      </c>
    </row>
    <row r="14" spans="1:42" s="638" customFormat="1" ht="15.75" customHeight="1">
      <c r="A14" s="648">
        <v>8</v>
      </c>
      <c r="B14" s="650">
        <v>1842678</v>
      </c>
      <c r="C14" s="633" t="s">
        <v>2142</v>
      </c>
      <c r="D14" s="633" t="s">
        <v>1124</v>
      </c>
      <c r="E14" s="633"/>
      <c r="F14" s="633"/>
      <c r="G14" s="634" t="s">
        <v>2144</v>
      </c>
      <c r="H14" s="525"/>
      <c r="I14" s="525"/>
      <c r="J14" s="525"/>
      <c r="K14" s="525"/>
      <c r="L14" s="525"/>
      <c r="M14" s="525"/>
      <c r="N14" s="525"/>
      <c r="O14" s="525"/>
      <c r="P14" s="475"/>
      <c r="Q14" s="525"/>
      <c r="R14" s="580">
        <v>37653</v>
      </c>
      <c r="S14" s="588" t="s">
        <v>1063</v>
      </c>
      <c r="T14" s="640">
        <v>42.04</v>
      </c>
      <c r="U14" s="582">
        <f t="shared" si="7"/>
        <v>1185.3</v>
      </c>
      <c r="V14" s="582">
        <v>49830</v>
      </c>
      <c r="W14" s="582">
        <v>0</v>
      </c>
      <c r="X14" s="582"/>
      <c r="Y14" s="582"/>
      <c r="Z14" s="582"/>
      <c r="AA14" s="582">
        <f t="shared" si="0"/>
        <v>49830</v>
      </c>
      <c r="AB14" s="582">
        <f t="shared" si="1"/>
        <v>0</v>
      </c>
      <c r="AC14" s="582">
        <f t="shared" si="2"/>
        <v>-9700</v>
      </c>
      <c r="AD14" s="584"/>
      <c r="AE14" s="582">
        <f t="shared" si="3"/>
        <v>-9700</v>
      </c>
      <c r="AF14" s="582" t="str">
        <f t="shared" si="4"/>
        <v/>
      </c>
      <c r="AG14" s="582">
        <v>0</v>
      </c>
      <c r="AH14" s="474"/>
      <c r="AI14" s="475"/>
      <c r="AJ14" s="522"/>
      <c r="AK14" s="522"/>
      <c r="AM14" s="652">
        <v>10524</v>
      </c>
      <c r="AN14" s="654">
        <v>0.67</v>
      </c>
      <c r="AO14" s="638">
        <f t="shared" si="5"/>
        <v>804</v>
      </c>
      <c r="AP14" s="638">
        <f t="shared" si="6"/>
        <v>-9700</v>
      </c>
    </row>
    <row r="15" spans="1:42" s="638" customFormat="1" ht="15.75" customHeight="1">
      <c r="A15" s="648">
        <v>9</v>
      </c>
      <c r="B15" s="650" t="s">
        <v>2145</v>
      </c>
      <c r="C15" s="633" t="s">
        <v>2146</v>
      </c>
      <c r="D15" s="633" t="s">
        <v>1124</v>
      </c>
      <c r="E15" s="633"/>
      <c r="F15" s="633"/>
      <c r="G15" s="634" t="s">
        <v>2144</v>
      </c>
      <c r="H15" s="525"/>
      <c r="I15" s="525"/>
      <c r="J15" s="525"/>
      <c r="K15" s="525"/>
      <c r="L15" s="525"/>
      <c r="M15" s="525"/>
      <c r="N15" s="525"/>
      <c r="O15" s="525"/>
      <c r="P15" s="475"/>
      <c r="Q15" s="525"/>
      <c r="R15" s="580">
        <v>41975</v>
      </c>
      <c r="S15" s="588" t="s">
        <v>1063</v>
      </c>
      <c r="T15" s="651">
        <v>42.02</v>
      </c>
      <c r="U15" s="582">
        <f t="shared" si="7"/>
        <v>609.72</v>
      </c>
      <c r="V15" s="582">
        <v>25620.28</v>
      </c>
      <c r="W15" s="582">
        <v>0</v>
      </c>
      <c r="X15" s="582"/>
      <c r="Y15" s="582"/>
      <c r="Z15" s="582"/>
      <c r="AA15" s="582">
        <f t="shared" si="0"/>
        <v>25620.28</v>
      </c>
      <c r="AB15" s="582">
        <f t="shared" si="1"/>
        <v>0</v>
      </c>
      <c r="AC15" s="582">
        <f t="shared" si="2"/>
        <v>-9700</v>
      </c>
      <c r="AD15" s="584"/>
      <c r="AE15" s="582">
        <f t="shared" si="3"/>
        <v>-9700</v>
      </c>
      <c r="AF15" s="582" t="str">
        <f t="shared" si="4"/>
        <v/>
      </c>
      <c r="AG15" s="582">
        <v>0</v>
      </c>
      <c r="AH15" s="474"/>
      <c r="AI15" s="475"/>
      <c r="AJ15" s="522"/>
      <c r="AK15" s="522"/>
      <c r="AM15" s="652">
        <v>10524</v>
      </c>
      <c r="AN15" s="654">
        <v>0.67</v>
      </c>
      <c r="AO15" s="638">
        <f t="shared" si="5"/>
        <v>804</v>
      </c>
      <c r="AP15" s="638">
        <f t="shared" si="6"/>
        <v>-9700</v>
      </c>
    </row>
    <row r="16" spans="1:42" s="638" customFormat="1" ht="15.75" customHeight="1">
      <c r="A16" s="648">
        <v>10</v>
      </c>
      <c r="B16" s="650" t="s">
        <v>2105</v>
      </c>
      <c r="C16" s="633"/>
      <c r="D16" s="633" t="s">
        <v>1128</v>
      </c>
      <c r="E16" s="633"/>
      <c r="F16" s="633"/>
      <c r="G16" s="634" t="s">
        <v>2144</v>
      </c>
      <c r="H16" s="525"/>
      <c r="I16" s="525"/>
      <c r="J16" s="525"/>
      <c r="K16" s="525"/>
      <c r="L16" s="525"/>
      <c r="M16" s="525"/>
      <c r="N16" s="525"/>
      <c r="O16" s="525"/>
      <c r="P16" s="475"/>
      <c r="Q16" s="525"/>
      <c r="R16" s="580">
        <v>37653</v>
      </c>
      <c r="S16" s="588" t="s">
        <v>1063</v>
      </c>
      <c r="T16" s="651">
        <v>80.319999999999993</v>
      </c>
      <c r="U16" s="582">
        <f t="shared" si="7"/>
        <v>488.4</v>
      </c>
      <c r="V16" s="582">
        <v>39228.120000000003</v>
      </c>
      <c r="W16" s="582">
        <v>0</v>
      </c>
      <c r="X16" s="582"/>
      <c r="Y16" s="582"/>
      <c r="Z16" s="582"/>
      <c r="AA16" s="582">
        <f t="shared" si="0"/>
        <v>39228.120000000003</v>
      </c>
      <c r="AB16" s="582">
        <f t="shared" si="1"/>
        <v>0</v>
      </c>
      <c r="AC16" s="582">
        <f t="shared" si="2"/>
        <v>-18600</v>
      </c>
      <c r="AD16" s="584"/>
      <c r="AE16" s="582">
        <f t="shared" si="3"/>
        <v>-18600</v>
      </c>
      <c r="AF16" s="582" t="str">
        <f t="shared" si="4"/>
        <v/>
      </c>
      <c r="AG16" s="582">
        <v>0</v>
      </c>
      <c r="AH16" s="474"/>
      <c r="AI16" s="475"/>
      <c r="AJ16" s="522"/>
      <c r="AK16" s="522"/>
      <c r="AM16" s="652">
        <v>20116</v>
      </c>
      <c r="AN16" s="654">
        <v>1.29</v>
      </c>
      <c r="AO16" s="638">
        <f t="shared" si="5"/>
        <v>1548</v>
      </c>
      <c r="AP16" s="638">
        <f t="shared" si="6"/>
        <v>-18600</v>
      </c>
    </row>
    <row r="17" spans="1:42" s="638" customFormat="1" ht="15.75" customHeight="1">
      <c r="A17" s="648">
        <v>11</v>
      </c>
      <c r="B17" s="650" t="s">
        <v>2106</v>
      </c>
      <c r="C17" s="633" t="s">
        <v>2147</v>
      </c>
      <c r="D17" s="633" t="s">
        <v>1130</v>
      </c>
      <c r="E17" s="633"/>
      <c r="F17" s="633"/>
      <c r="G17" s="634" t="s">
        <v>2144</v>
      </c>
      <c r="H17" s="525"/>
      <c r="I17" s="525"/>
      <c r="J17" s="525"/>
      <c r="K17" s="525"/>
      <c r="L17" s="525"/>
      <c r="M17" s="525"/>
      <c r="N17" s="525"/>
      <c r="O17" s="525"/>
      <c r="P17" s="475"/>
      <c r="Q17" s="525"/>
      <c r="R17" s="580">
        <v>37653</v>
      </c>
      <c r="S17" s="588" t="s">
        <v>1063</v>
      </c>
      <c r="T17" s="640">
        <v>50.49</v>
      </c>
      <c r="U17" s="582">
        <f t="shared" si="7"/>
        <v>1032.6300000000001</v>
      </c>
      <c r="V17" s="582">
        <v>52137.32</v>
      </c>
      <c r="W17" s="582">
        <v>0</v>
      </c>
      <c r="X17" s="582"/>
      <c r="Y17" s="582"/>
      <c r="Z17" s="582"/>
      <c r="AA17" s="582">
        <f t="shared" si="0"/>
        <v>52137.32</v>
      </c>
      <c r="AB17" s="582">
        <f t="shared" si="1"/>
        <v>0</v>
      </c>
      <c r="AC17" s="582">
        <f t="shared" si="2"/>
        <v>-11700</v>
      </c>
      <c r="AD17" s="584"/>
      <c r="AE17" s="582">
        <f t="shared" si="3"/>
        <v>-11700</v>
      </c>
      <c r="AF17" s="582" t="str">
        <f t="shared" si="4"/>
        <v/>
      </c>
      <c r="AG17" s="582">
        <v>0</v>
      </c>
      <c r="AH17" s="474"/>
      <c r="AI17" s="475"/>
      <c r="AJ17" s="522"/>
      <c r="AK17" s="522"/>
      <c r="AM17" s="652">
        <v>12645</v>
      </c>
      <c r="AN17" s="654">
        <v>0.81</v>
      </c>
      <c r="AO17" s="638">
        <f t="shared" si="5"/>
        <v>972</v>
      </c>
      <c r="AP17" s="638">
        <f t="shared" si="6"/>
        <v>-11700</v>
      </c>
    </row>
    <row r="18" spans="1:42" s="638" customFormat="1" ht="15.75" customHeight="1">
      <c r="A18" s="648">
        <v>12</v>
      </c>
      <c r="B18" s="650" t="s">
        <v>2107</v>
      </c>
      <c r="C18" s="633" t="s">
        <v>2147</v>
      </c>
      <c r="D18" s="633" t="s">
        <v>1131</v>
      </c>
      <c r="E18" s="633"/>
      <c r="F18" s="633"/>
      <c r="G18" s="634" t="s">
        <v>2144</v>
      </c>
      <c r="H18" s="525"/>
      <c r="I18" s="525"/>
      <c r="J18" s="525"/>
      <c r="K18" s="525"/>
      <c r="L18" s="525"/>
      <c r="M18" s="525"/>
      <c r="N18" s="525"/>
      <c r="O18" s="525"/>
      <c r="P18" s="475"/>
      <c r="Q18" s="525"/>
      <c r="R18" s="580">
        <v>37653</v>
      </c>
      <c r="S18" s="588" t="s">
        <v>1063</v>
      </c>
      <c r="T18" s="640">
        <v>35.19</v>
      </c>
      <c r="U18" s="582">
        <f t="shared" si="7"/>
        <v>888.96</v>
      </c>
      <c r="V18" s="582">
        <v>31282.400000000001</v>
      </c>
      <c r="W18" s="582">
        <v>0</v>
      </c>
      <c r="X18" s="582"/>
      <c r="Y18" s="582"/>
      <c r="Z18" s="582"/>
      <c r="AA18" s="582">
        <f t="shared" si="0"/>
        <v>31282.400000000001</v>
      </c>
      <c r="AB18" s="582">
        <f t="shared" si="1"/>
        <v>0</v>
      </c>
      <c r="AC18" s="582">
        <f t="shared" si="2"/>
        <v>-8100</v>
      </c>
      <c r="AD18" s="584"/>
      <c r="AE18" s="582">
        <f t="shared" si="3"/>
        <v>-8100</v>
      </c>
      <c r="AF18" s="582" t="str">
        <f t="shared" si="4"/>
        <v/>
      </c>
      <c r="AG18" s="582">
        <v>0</v>
      </c>
      <c r="AH18" s="474"/>
      <c r="AI18" s="475"/>
      <c r="AJ18" s="522"/>
      <c r="AK18" s="522"/>
      <c r="AM18" s="652">
        <v>8813</v>
      </c>
      <c r="AN18" s="654">
        <v>0.56000000000000005</v>
      </c>
      <c r="AO18" s="638">
        <f t="shared" si="5"/>
        <v>672</v>
      </c>
      <c r="AP18" s="638">
        <f t="shared" si="6"/>
        <v>-8100</v>
      </c>
    </row>
    <row r="19" spans="1:42" s="638" customFormat="1" ht="15.75" customHeight="1">
      <c r="A19" s="648">
        <v>13</v>
      </c>
      <c r="B19" s="650" t="s">
        <v>2108</v>
      </c>
      <c r="C19" s="633" t="s">
        <v>2148</v>
      </c>
      <c r="D19" s="633" t="s">
        <v>1133</v>
      </c>
      <c r="E19" s="633"/>
      <c r="F19" s="633"/>
      <c r="G19" s="634" t="s">
        <v>2144</v>
      </c>
      <c r="H19" s="525"/>
      <c r="I19" s="525"/>
      <c r="J19" s="525"/>
      <c r="K19" s="525"/>
      <c r="L19" s="525"/>
      <c r="M19" s="525"/>
      <c r="N19" s="525"/>
      <c r="O19" s="525"/>
      <c r="P19" s="475"/>
      <c r="Q19" s="525"/>
      <c r="R19" s="580">
        <v>37653</v>
      </c>
      <c r="S19" s="588" t="s">
        <v>1063</v>
      </c>
      <c r="T19" s="640">
        <v>18.239999999999998</v>
      </c>
      <c r="U19" s="582">
        <f t="shared" si="7"/>
        <v>568.54</v>
      </c>
      <c r="V19" s="582">
        <v>10370.11</v>
      </c>
      <c r="W19" s="582">
        <v>0</v>
      </c>
      <c r="X19" s="582"/>
      <c r="Y19" s="582"/>
      <c r="Z19" s="582"/>
      <c r="AA19" s="582">
        <f t="shared" si="0"/>
        <v>10370.11</v>
      </c>
      <c r="AB19" s="582">
        <f t="shared" si="1"/>
        <v>0</v>
      </c>
      <c r="AC19" s="582">
        <f t="shared" si="2"/>
        <v>-4200</v>
      </c>
      <c r="AD19" s="584"/>
      <c r="AE19" s="582">
        <f t="shared" si="3"/>
        <v>-4200</v>
      </c>
      <c r="AF19" s="582" t="str">
        <f t="shared" si="4"/>
        <v/>
      </c>
      <c r="AG19" s="582">
        <v>0</v>
      </c>
      <c r="AH19" s="474"/>
      <c r="AI19" s="475"/>
      <c r="AJ19" s="522"/>
      <c r="AK19" s="522"/>
      <c r="AM19" s="652">
        <v>4568</v>
      </c>
      <c r="AN19" s="654">
        <v>0.28999999999999998</v>
      </c>
      <c r="AO19" s="638">
        <f t="shared" si="5"/>
        <v>348</v>
      </c>
      <c r="AP19" s="638">
        <f t="shared" si="6"/>
        <v>-4200</v>
      </c>
    </row>
    <row r="20" spans="1:42" s="638" customFormat="1" ht="15.75" customHeight="1">
      <c r="A20" s="648">
        <v>14</v>
      </c>
      <c r="B20" s="650" t="s">
        <v>2109</v>
      </c>
      <c r="C20" s="633"/>
      <c r="D20" s="633" t="s">
        <v>1134</v>
      </c>
      <c r="E20" s="633"/>
      <c r="F20" s="633"/>
      <c r="G20" s="634" t="s">
        <v>2144</v>
      </c>
      <c r="H20" s="525"/>
      <c r="I20" s="525"/>
      <c r="J20" s="525"/>
      <c r="K20" s="525"/>
      <c r="L20" s="525"/>
      <c r="M20" s="525"/>
      <c r="N20" s="525"/>
      <c r="O20" s="525"/>
      <c r="P20" s="475"/>
      <c r="Q20" s="525"/>
      <c r="R20" s="580">
        <v>37653</v>
      </c>
      <c r="S20" s="588" t="s">
        <v>1063</v>
      </c>
      <c r="T20" s="640">
        <v>18.239999999999998</v>
      </c>
      <c r="U20" s="582">
        <f t="shared" si="7"/>
        <v>573.4</v>
      </c>
      <c r="V20" s="582">
        <v>10458.75</v>
      </c>
      <c r="W20" s="582">
        <v>7387.41</v>
      </c>
      <c r="X20" s="582"/>
      <c r="Y20" s="582"/>
      <c r="Z20" s="582"/>
      <c r="AA20" s="582">
        <f t="shared" si="0"/>
        <v>10458.75</v>
      </c>
      <c r="AB20" s="582">
        <f t="shared" si="1"/>
        <v>7387.41</v>
      </c>
      <c r="AC20" s="582">
        <f t="shared" si="2"/>
        <v>-4200</v>
      </c>
      <c r="AD20" s="584"/>
      <c r="AE20" s="582">
        <f t="shared" si="3"/>
        <v>-4200</v>
      </c>
      <c r="AF20" s="582">
        <f t="shared" si="4"/>
        <v>-156.85</v>
      </c>
      <c r="AG20" s="582">
        <v>0</v>
      </c>
      <c r="AH20" s="474"/>
      <c r="AI20" s="475"/>
      <c r="AJ20" s="522"/>
      <c r="AK20" s="522"/>
      <c r="AM20" s="652">
        <v>4568</v>
      </c>
      <c r="AN20" s="654">
        <v>0.28999999999999998</v>
      </c>
      <c r="AO20" s="638">
        <f t="shared" si="5"/>
        <v>348</v>
      </c>
      <c r="AP20" s="638">
        <f t="shared" si="6"/>
        <v>-4200</v>
      </c>
    </row>
    <row r="21" spans="1:42" s="638" customFormat="1" ht="15.75" customHeight="1">
      <c r="A21" s="648">
        <v>15</v>
      </c>
      <c r="B21" s="650" t="s">
        <v>2110</v>
      </c>
      <c r="C21" s="633" t="s">
        <v>2146</v>
      </c>
      <c r="D21" s="634" t="s">
        <v>2305</v>
      </c>
      <c r="E21" s="633"/>
      <c r="F21" s="633"/>
      <c r="G21" s="634" t="s">
        <v>2149</v>
      </c>
      <c r="H21" s="525"/>
      <c r="I21" s="525"/>
      <c r="J21" s="525"/>
      <c r="K21" s="525"/>
      <c r="L21" s="525"/>
      <c r="M21" s="525"/>
      <c r="N21" s="525"/>
      <c r="O21" s="525"/>
      <c r="P21" s="475"/>
      <c r="Q21" s="525"/>
      <c r="R21" s="580">
        <v>37653</v>
      </c>
      <c r="S21" s="588" t="s">
        <v>1063</v>
      </c>
      <c r="T21" s="640">
        <v>2145.15</v>
      </c>
      <c r="U21" s="582">
        <f t="shared" si="7"/>
        <v>1311.9</v>
      </c>
      <c r="V21" s="582">
        <v>2814220.08</v>
      </c>
      <c r="W21" s="582">
        <v>0</v>
      </c>
      <c r="X21" s="582"/>
      <c r="Y21" s="582"/>
      <c r="Z21" s="582"/>
      <c r="AA21" s="582">
        <f t="shared" si="0"/>
        <v>2814220.08</v>
      </c>
      <c r="AB21" s="582">
        <f t="shared" si="1"/>
        <v>0</v>
      </c>
      <c r="AC21" s="582">
        <f t="shared" si="2"/>
        <v>-81000</v>
      </c>
      <c r="AD21" s="584"/>
      <c r="AE21" s="582">
        <f t="shared" si="3"/>
        <v>-81000</v>
      </c>
      <c r="AF21" s="582" t="str">
        <f t="shared" si="4"/>
        <v/>
      </c>
      <c r="AG21" s="582">
        <v>0</v>
      </c>
      <c r="AH21" s="474"/>
      <c r="AI21" s="475"/>
      <c r="AJ21" s="522"/>
      <c r="AK21" s="522"/>
      <c r="AM21" s="652">
        <v>209755</v>
      </c>
      <c r="AN21" s="654">
        <v>107.26</v>
      </c>
      <c r="AO21" s="638">
        <f t="shared" si="5"/>
        <v>128712</v>
      </c>
      <c r="AP21" s="638">
        <f t="shared" si="6"/>
        <v>-81000</v>
      </c>
    </row>
    <row r="22" spans="1:42" s="638" customFormat="1" ht="15.75" customHeight="1">
      <c r="A22" s="648">
        <v>16</v>
      </c>
      <c r="B22" s="650" t="s">
        <v>2111</v>
      </c>
      <c r="C22" s="633" t="s">
        <v>2150</v>
      </c>
      <c r="D22" s="633" t="s">
        <v>1135</v>
      </c>
      <c r="E22" s="633"/>
      <c r="F22" s="633"/>
      <c r="G22" s="634" t="s">
        <v>2144</v>
      </c>
      <c r="H22" s="525"/>
      <c r="I22" s="525"/>
      <c r="J22" s="525"/>
      <c r="K22" s="525"/>
      <c r="L22" s="525"/>
      <c r="M22" s="525"/>
      <c r="N22" s="525"/>
      <c r="O22" s="525"/>
      <c r="P22" s="475"/>
      <c r="Q22" s="525"/>
      <c r="R22" s="580">
        <v>37653</v>
      </c>
      <c r="S22" s="588" t="s">
        <v>1063</v>
      </c>
      <c r="T22" s="640">
        <v>18.03</v>
      </c>
      <c r="U22" s="582">
        <f t="shared" si="7"/>
        <v>575.16</v>
      </c>
      <c r="V22" s="582">
        <v>10370.11</v>
      </c>
      <c r="W22" s="582">
        <v>0</v>
      </c>
      <c r="X22" s="582"/>
      <c r="Y22" s="582"/>
      <c r="Z22" s="582"/>
      <c r="AA22" s="582">
        <f t="shared" si="0"/>
        <v>10370.11</v>
      </c>
      <c r="AB22" s="582">
        <f t="shared" si="1"/>
        <v>0</v>
      </c>
      <c r="AC22" s="582">
        <f t="shared" si="2"/>
        <v>-4200</v>
      </c>
      <c r="AD22" s="584"/>
      <c r="AE22" s="582">
        <f t="shared" si="3"/>
        <v>-4200</v>
      </c>
      <c r="AF22" s="582" t="str">
        <f t="shared" si="4"/>
        <v/>
      </c>
      <c r="AG22" s="582">
        <v>0</v>
      </c>
      <c r="AH22" s="474"/>
      <c r="AI22" s="475"/>
      <c r="AJ22" s="522"/>
      <c r="AK22" s="522"/>
      <c r="AM22" s="652">
        <v>4516</v>
      </c>
      <c r="AN22" s="654">
        <v>0.28999999999999998</v>
      </c>
      <c r="AO22" s="638">
        <f t="shared" si="5"/>
        <v>348</v>
      </c>
      <c r="AP22" s="638">
        <f t="shared" si="6"/>
        <v>-4200</v>
      </c>
    </row>
    <row r="23" spans="1:42" s="638" customFormat="1" ht="15.75" customHeight="1">
      <c r="A23" s="648">
        <v>17</v>
      </c>
      <c r="B23" s="650" t="s">
        <v>2112</v>
      </c>
      <c r="C23" s="633" t="s">
        <v>2150</v>
      </c>
      <c r="D23" s="633" t="s">
        <v>1136</v>
      </c>
      <c r="E23" s="633"/>
      <c r="F23" s="633"/>
      <c r="G23" s="634" t="s">
        <v>2136</v>
      </c>
      <c r="H23" s="525"/>
      <c r="I23" s="525"/>
      <c r="J23" s="525"/>
      <c r="K23" s="525"/>
      <c r="L23" s="525"/>
      <c r="M23" s="525"/>
      <c r="N23" s="525"/>
      <c r="O23" s="525"/>
      <c r="P23" s="475"/>
      <c r="Q23" s="525"/>
      <c r="R23" s="580">
        <v>38384</v>
      </c>
      <c r="S23" s="588" t="s">
        <v>1063</v>
      </c>
      <c r="T23" s="640">
        <v>80.27</v>
      </c>
      <c r="U23" s="582">
        <f t="shared" si="7"/>
        <v>575.28</v>
      </c>
      <c r="V23" s="582">
        <v>46178.02</v>
      </c>
      <c r="W23" s="582">
        <v>0</v>
      </c>
      <c r="X23" s="582"/>
      <c r="Y23" s="582"/>
      <c r="Z23" s="582"/>
      <c r="AA23" s="582">
        <f t="shared" si="0"/>
        <v>46178.02</v>
      </c>
      <c r="AB23" s="582">
        <f t="shared" si="1"/>
        <v>0</v>
      </c>
      <c r="AC23" s="582">
        <f t="shared" si="2"/>
        <v>-23400</v>
      </c>
      <c r="AD23" s="584"/>
      <c r="AE23" s="582">
        <f t="shared" si="3"/>
        <v>-23400</v>
      </c>
      <c r="AF23" s="582" t="str">
        <f t="shared" si="4"/>
        <v/>
      </c>
      <c r="AG23" s="582">
        <v>0</v>
      </c>
      <c r="AH23" s="474"/>
      <c r="AI23" s="475"/>
      <c r="AJ23" s="522"/>
      <c r="AK23" s="522"/>
      <c r="AM23" s="652">
        <v>27874</v>
      </c>
      <c r="AN23" s="638">
        <v>3.69</v>
      </c>
      <c r="AO23" s="638">
        <f t="shared" si="5"/>
        <v>4428</v>
      </c>
      <c r="AP23" s="638">
        <f t="shared" si="6"/>
        <v>-23400</v>
      </c>
    </row>
    <row r="24" spans="1:42" s="638" customFormat="1" ht="15.75" customHeight="1">
      <c r="A24" s="648">
        <v>18</v>
      </c>
      <c r="B24" s="650" t="s">
        <v>2113</v>
      </c>
      <c r="C24" s="633" t="s">
        <v>2148</v>
      </c>
      <c r="D24" s="634" t="s">
        <v>2306</v>
      </c>
      <c r="E24" s="633"/>
      <c r="F24" s="633"/>
      <c r="G24" s="634" t="s">
        <v>2140</v>
      </c>
      <c r="H24" s="525"/>
      <c r="I24" s="525"/>
      <c r="J24" s="525"/>
      <c r="K24" s="525"/>
      <c r="L24" s="525"/>
      <c r="M24" s="525"/>
      <c r="N24" s="525"/>
      <c r="O24" s="525"/>
      <c r="P24" s="475"/>
      <c r="Q24" s="525"/>
      <c r="R24" s="580">
        <v>37803</v>
      </c>
      <c r="S24" s="588" t="s">
        <v>1063</v>
      </c>
      <c r="T24" s="640">
        <v>3346.21</v>
      </c>
      <c r="U24" s="582">
        <f t="shared" si="7"/>
        <v>797.62</v>
      </c>
      <c r="V24" s="582">
        <v>2669013.6</v>
      </c>
      <c r="W24" s="582">
        <v>0</v>
      </c>
      <c r="X24" s="582"/>
      <c r="Y24" s="582"/>
      <c r="Z24" s="582"/>
      <c r="AA24" s="582">
        <f t="shared" si="0"/>
        <v>2669013.6</v>
      </c>
      <c r="AB24" s="582">
        <f t="shared" si="1"/>
        <v>0</v>
      </c>
      <c r="AC24" s="582">
        <f t="shared" si="2"/>
        <v>-169500</v>
      </c>
      <c r="AD24" s="584"/>
      <c r="AE24" s="582">
        <f t="shared" si="3"/>
        <v>-169500</v>
      </c>
      <c r="AF24" s="582" t="str">
        <f t="shared" si="4"/>
        <v/>
      </c>
      <c r="AG24" s="582">
        <v>0</v>
      </c>
      <c r="AH24" s="474"/>
      <c r="AI24" s="475"/>
      <c r="AJ24" s="522"/>
      <c r="AK24" s="522"/>
      <c r="AM24" s="652">
        <v>350174</v>
      </c>
      <c r="AN24" s="638">
        <v>150.58000000000001</v>
      </c>
      <c r="AO24" s="638">
        <f t="shared" si="5"/>
        <v>180696</v>
      </c>
      <c r="AP24" s="638">
        <f t="shared" si="6"/>
        <v>-169500</v>
      </c>
    </row>
    <row r="25" spans="1:42" s="638" customFormat="1" ht="15.75" customHeight="1">
      <c r="A25" s="648">
        <v>19</v>
      </c>
      <c r="B25" s="650" t="s">
        <v>2114</v>
      </c>
      <c r="C25" s="633"/>
      <c r="D25" s="633" t="s">
        <v>1123</v>
      </c>
      <c r="E25" s="633"/>
      <c r="F25" s="633"/>
      <c r="G25" s="634" t="s">
        <v>2141</v>
      </c>
      <c r="H25" s="525"/>
      <c r="I25" s="525"/>
      <c r="J25" s="525"/>
      <c r="K25" s="525"/>
      <c r="L25" s="525"/>
      <c r="M25" s="525"/>
      <c r="N25" s="525"/>
      <c r="O25" s="525"/>
      <c r="P25" s="475"/>
      <c r="Q25" s="525"/>
      <c r="R25" s="580">
        <v>39203</v>
      </c>
      <c r="S25" s="588" t="s">
        <v>1063</v>
      </c>
      <c r="T25" s="640">
        <v>40</v>
      </c>
      <c r="U25" s="582">
        <f t="shared" si="7"/>
        <v>1485.91</v>
      </c>
      <c r="V25" s="582">
        <v>59436.54</v>
      </c>
      <c r="W25" s="582">
        <v>0</v>
      </c>
      <c r="X25" s="582"/>
      <c r="Y25" s="582"/>
      <c r="Z25" s="582"/>
      <c r="AA25" s="582">
        <f t="shared" si="0"/>
        <v>59436.54</v>
      </c>
      <c r="AB25" s="582">
        <f t="shared" si="1"/>
        <v>0</v>
      </c>
      <c r="AC25" s="582">
        <f t="shared" si="2"/>
        <v>0</v>
      </c>
      <c r="AD25" s="584"/>
      <c r="AE25" s="582">
        <f t="shared" si="3"/>
        <v>0</v>
      </c>
      <c r="AF25" s="582" t="str">
        <f t="shared" si="4"/>
        <v/>
      </c>
      <c r="AG25" s="582">
        <v>0</v>
      </c>
      <c r="AH25" s="698"/>
      <c r="AI25" s="475"/>
      <c r="AJ25" s="522"/>
      <c r="AK25" s="522"/>
      <c r="AM25" s="652">
        <v>0</v>
      </c>
      <c r="AO25" s="638">
        <f t="shared" si="5"/>
        <v>0</v>
      </c>
      <c r="AP25" s="638">
        <f t="shared" si="6"/>
        <v>0</v>
      </c>
    </row>
    <row r="26" spans="1:42" s="638" customFormat="1" ht="15.75" customHeight="1">
      <c r="A26" s="648">
        <v>20</v>
      </c>
      <c r="B26" s="650" t="s">
        <v>2115</v>
      </c>
      <c r="C26" s="633"/>
      <c r="D26" s="633" t="s">
        <v>1137</v>
      </c>
      <c r="E26" s="633"/>
      <c r="F26" s="633"/>
      <c r="G26" s="634" t="s">
        <v>2141</v>
      </c>
      <c r="H26" s="525"/>
      <c r="I26" s="525"/>
      <c r="J26" s="525"/>
      <c r="K26" s="525"/>
      <c r="L26" s="525"/>
      <c r="M26" s="525"/>
      <c r="N26" s="525"/>
      <c r="O26" s="525"/>
      <c r="P26" s="475"/>
      <c r="Q26" s="525"/>
      <c r="R26" s="580">
        <v>39204</v>
      </c>
      <c r="S26" s="588" t="s">
        <v>1063</v>
      </c>
      <c r="T26" s="640">
        <v>80</v>
      </c>
      <c r="U26" s="582">
        <f t="shared" si="7"/>
        <v>12258.79</v>
      </c>
      <c r="V26" s="582">
        <v>980702.96</v>
      </c>
      <c r="W26" s="582">
        <v>0</v>
      </c>
      <c r="X26" s="582"/>
      <c r="Y26" s="582"/>
      <c r="Z26" s="582"/>
      <c r="AA26" s="582">
        <f t="shared" si="0"/>
        <v>980702.96</v>
      </c>
      <c r="AB26" s="582">
        <f t="shared" si="1"/>
        <v>0</v>
      </c>
      <c r="AC26" s="582">
        <f t="shared" si="2"/>
        <v>0</v>
      </c>
      <c r="AD26" s="584"/>
      <c r="AE26" s="582">
        <f t="shared" si="3"/>
        <v>0</v>
      </c>
      <c r="AF26" s="582" t="str">
        <f t="shared" si="4"/>
        <v/>
      </c>
      <c r="AG26" s="582">
        <v>0</v>
      </c>
      <c r="AH26" s="698"/>
      <c r="AI26" s="475"/>
      <c r="AJ26" s="522"/>
      <c r="AK26" s="522"/>
      <c r="AM26" s="652">
        <v>0</v>
      </c>
      <c r="AO26" s="638">
        <f t="shared" si="5"/>
        <v>0</v>
      </c>
      <c r="AP26" s="638">
        <f t="shared" si="6"/>
        <v>0</v>
      </c>
    </row>
    <row r="27" spans="1:42" s="638" customFormat="1" ht="15.75" customHeight="1">
      <c r="A27" s="648">
        <v>21</v>
      </c>
      <c r="B27" s="650" t="s">
        <v>2116</v>
      </c>
      <c r="C27" s="633" t="s">
        <v>2151</v>
      </c>
      <c r="D27" s="633" t="s">
        <v>1138</v>
      </c>
      <c r="E27" s="633"/>
      <c r="F27" s="633"/>
      <c r="G27" s="634" t="s">
        <v>2144</v>
      </c>
      <c r="H27" s="525"/>
      <c r="I27" s="525"/>
      <c r="J27" s="525"/>
      <c r="K27" s="525"/>
      <c r="L27" s="525"/>
      <c r="M27" s="525"/>
      <c r="N27" s="525"/>
      <c r="O27" s="525"/>
      <c r="P27" s="475"/>
      <c r="Q27" s="525"/>
      <c r="R27" s="580">
        <v>37653</v>
      </c>
      <c r="S27" s="588" t="s">
        <v>1063</v>
      </c>
      <c r="T27" s="651">
        <v>238.43</v>
      </c>
      <c r="U27" s="582">
        <f t="shared" si="7"/>
        <v>610.09</v>
      </c>
      <c r="V27" s="582">
        <v>145463.12</v>
      </c>
      <c r="W27" s="582">
        <v>0</v>
      </c>
      <c r="X27" s="582"/>
      <c r="Y27" s="582"/>
      <c r="Z27" s="582"/>
      <c r="AA27" s="582">
        <f t="shared" si="0"/>
        <v>145463.12</v>
      </c>
      <c r="AB27" s="582">
        <f t="shared" si="1"/>
        <v>0</v>
      </c>
      <c r="AC27" s="582">
        <f t="shared" si="2"/>
        <v>-39100</v>
      </c>
      <c r="AD27" s="584"/>
      <c r="AE27" s="582">
        <f t="shared" si="3"/>
        <v>-39100</v>
      </c>
      <c r="AF27" s="582" t="str">
        <f t="shared" si="4"/>
        <v/>
      </c>
      <c r="AG27" s="582">
        <v>0</v>
      </c>
      <c r="AH27" s="474"/>
      <c r="AI27" s="475"/>
      <c r="AJ27" s="522"/>
      <c r="AK27" s="522"/>
      <c r="AM27" s="652">
        <v>43660</v>
      </c>
      <c r="AN27" s="654">
        <v>3.82</v>
      </c>
      <c r="AO27" s="638">
        <f t="shared" si="5"/>
        <v>4584</v>
      </c>
      <c r="AP27" s="638">
        <f t="shared" si="6"/>
        <v>-39100</v>
      </c>
    </row>
    <row r="28" spans="1:42" s="638" customFormat="1" ht="15.75" customHeight="1">
      <c r="A28" s="648">
        <v>22</v>
      </c>
      <c r="B28" s="650" t="s">
        <v>2117</v>
      </c>
      <c r="C28" s="633" t="s">
        <v>2151</v>
      </c>
      <c r="D28" s="633" t="s">
        <v>1139</v>
      </c>
      <c r="E28" s="633"/>
      <c r="F28" s="633"/>
      <c r="G28" s="634" t="s">
        <v>2144</v>
      </c>
      <c r="H28" s="525"/>
      <c r="I28" s="525"/>
      <c r="J28" s="525"/>
      <c r="K28" s="525"/>
      <c r="L28" s="525"/>
      <c r="M28" s="525"/>
      <c r="N28" s="525"/>
      <c r="O28" s="525"/>
      <c r="P28" s="475"/>
      <c r="Q28" s="525"/>
      <c r="R28" s="580">
        <v>37653</v>
      </c>
      <c r="S28" s="588" t="s">
        <v>1063</v>
      </c>
      <c r="T28" s="651">
        <v>510.81</v>
      </c>
      <c r="U28" s="582">
        <f t="shared" si="7"/>
        <v>609.96</v>
      </c>
      <c r="V28" s="582">
        <v>311572.61</v>
      </c>
      <c r="W28" s="582">
        <v>0</v>
      </c>
      <c r="X28" s="582"/>
      <c r="Y28" s="582"/>
      <c r="Z28" s="582"/>
      <c r="AA28" s="582">
        <f t="shared" si="0"/>
        <v>311572.61</v>
      </c>
      <c r="AB28" s="582">
        <f t="shared" si="1"/>
        <v>0</v>
      </c>
      <c r="AC28" s="582">
        <f t="shared" si="2"/>
        <v>-63800</v>
      </c>
      <c r="AD28" s="584"/>
      <c r="AE28" s="582">
        <f t="shared" si="3"/>
        <v>-63800</v>
      </c>
      <c r="AF28" s="582" t="str">
        <f t="shared" si="4"/>
        <v/>
      </c>
      <c r="AG28" s="582">
        <v>0</v>
      </c>
      <c r="AH28" s="474"/>
      <c r="AI28" s="475"/>
      <c r="AJ28" s="522"/>
      <c r="AK28" s="522"/>
      <c r="AM28" s="652">
        <v>73649</v>
      </c>
      <c r="AN28" s="654">
        <v>8.17</v>
      </c>
      <c r="AO28" s="638">
        <f t="shared" si="5"/>
        <v>9804</v>
      </c>
      <c r="AP28" s="638">
        <f t="shared" si="6"/>
        <v>-63800</v>
      </c>
    </row>
    <row r="29" spans="1:42" s="638" customFormat="1" ht="15.75" customHeight="1">
      <c r="A29" s="648">
        <v>23</v>
      </c>
      <c r="B29" s="650" t="s">
        <v>2118</v>
      </c>
      <c r="C29" s="633" t="s">
        <v>2151</v>
      </c>
      <c r="D29" s="633" t="s">
        <v>1140</v>
      </c>
      <c r="E29" s="633"/>
      <c r="F29" s="633"/>
      <c r="G29" s="634" t="s">
        <v>2152</v>
      </c>
      <c r="H29" s="525"/>
      <c r="I29" s="525"/>
      <c r="J29" s="525"/>
      <c r="K29" s="525"/>
      <c r="L29" s="525"/>
      <c r="M29" s="525"/>
      <c r="N29" s="525"/>
      <c r="O29" s="525"/>
      <c r="P29" s="475"/>
      <c r="Q29" s="525"/>
      <c r="R29" s="580">
        <v>37653</v>
      </c>
      <c r="S29" s="588" t="s">
        <v>1063</v>
      </c>
      <c r="T29" s="651">
        <v>1433.23</v>
      </c>
      <c r="U29" s="582">
        <f t="shared" si="7"/>
        <v>773.97</v>
      </c>
      <c r="V29" s="582">
        <v>1109271.45</v>
      </c>
      <c r="W29" s="582">
        <v>0</v>
      </c>
      <c r="X29" s="582"/>
      <c r="Y29" s="582"/>
      <c r="Z29" s="582"/>
      <c r="AA29" s="582">
        <f t="shared" si="0"/>
        <v>1109271.45</v>
      </c>
      <c r="AB29" s="582">
        <f t="shared" si="1"/>
        <v>0</v>
      </c>
      <c r="AC29" s="582">
        <f t="shared" si="2"/>
        <v>-56200</v>
      </c>
      <c r="AD29" s="584"/>
      <c r="AE29" s="582">
        <f t="shared" si="3"/>
        <v>-56200</v>
      </c>
      <c r="AF29" s="582" t="str">
        <f t="shared" si="4"/>
        <v/>
      </c>
      <c r="AG29" s="582">
        <v>0</v>
      </c>
      <c r="AH29" s="474"/>
      <c r="AI29" s="475"/>
      <c r="AJ29" s="522"/>
      <c r="AK29" s="522"/>
      <c r="AM29" s="652">
        <v>150813</v>
      </c>
      <c r="AN29" s="654">
        <v>78.83</v>
      </c>
      <c r="AO29" s="638">
        <f t="shared" si="5"/>
        <v>94596</v>
      </c>
      <c r="AP29" s="638">
        <f t="shared" si="6"/>
        <v>-56200</v>
      </c>
    </row>
    <row r="30" spans="1:42" s="638" customFormat="1" ht="15.75" customHeight="1">
      <c r="A30" s="648">
        <v>24</v>
      </c>
      <c r="B30" s="650" t="s">
        <v>2119</v>
      </c>
      <c r="C30" s="633" t="s">
        <v>2142</v>
      </c>
      <c r="D30" s="633" t="s">
        <v>1141</v>
      </c>
      <c r="E30" s="633"/>
      <c r="F30" s="633"/>
      <c r="G30" s="634" t="s">
        <v>2144</v>
      </c>
      <c r="H30" s="525"/>
      <c r="I30" s="525"/>
      <c r="J30" s="525"/>
      <c r="K30" s="525"/>
      <c r="L30" s="525"/>
      <c r="M30" s="525"/>
      <c r="N30" s="525"/>
      <c r="O30" s="525"/>
      <c r="P30" s="475"/>
      <c r="Q30" s="525"/>
      <c r="R30" s="580">
        <v>37653</v>
      </c>
      <c r="S30" s="588" t="s">
        <v>1063</v>
      </c>
      <c r="T30" s="651">
        <v>546.96</v>
      </c>
      <c r="U30" s="582">
        <f t="shared" si="7"/>
        <v>609.97</v>
      </c>
      <c r="V30" s="582">
        <v>333626.7</v>
      </c>
      <c r="W30" s="582">
        <v>0</v>
      </c>
      <c r="X30" s="582"/>
      <c r="Y30" s="582"/>
      <c r="Z30" s="582"/>
      <c r="AA30" s="582">
        <f t="shared" si="0"/>
        <v>333626.7</v>
      </c>
      <c r="AB30" s="582">
        <f t="shared" si="1"/>
        <v>0</v>
      </c>
      <c r="AC30" s="582">
        <f t="shared" si="2"/>
        <v>-68400</v>
      </c>
      <c r="AD30" s="584"/>
      <c r="AE30" s="582">
        <f t="shared" si="3"/>
        <v>-68400</v>
      </c>
      <c r="AF30" s="582" t="str">
        <f t="shared" si="4"/>
        <v/>
      </c>
      <c r="AG30" s="582">
        <v>0</v>
      </c>
      <c r="AH30" s="474"/>
      <c r="AI30" s="475"/>
      <c r="AJ30" s="522"/>
      <c r="AK30" s="522"/>
      <c r="AM30" s="652">
        <v>78861</v>
      </c>
      <c r="AN30" s="654">
        <v>8.75</v>
      </c>
      <c r="AO30" s="638">
        <f t="shared" si="5"/>
        <v>10500</v>
      </c>
      <c r="AP30" s="638">
        <f t="shared" si="6"/>
        <v>-68400</v>
      </c>
    </row>
    <row r="31" spans="1:42" s="638" customFormat="1" ht="15.75" customHeight="1">
      <c r="A31" s="648">
        <v>25</v>
      </c>
      <c r="B31" s="650" t="s">
        <v>2120</v>
      </c>
      <c r="C31" s="633" t="s">
        <v>2153</v>
      </c>
      <c r="D31" s="633" t="s">
        <v>1142</v>
      </c>
      <c r="E31" s="633"/>
      <c r="F31" s="633"/>
      <c r="G31" s="634" t="s">
        <v>2144</v>
      </c>
      <c r="H31" s="525"/>
      <c r="I31" s="525"/>
      <c r="J31" s="525"/>
      <c r="K31" s="525"/>
      <c r="L31" s="525"/>
      <c r="M31" s="525"/>
      <c r="N31" s="525"/>
      <c r="O31" s="525"/>
      <c r="P31" s="475"/>
      <c r="Q31" s="525"/>
      <c r="R31" s="580">
        <v>39204</v>
      </c>
      <c r="S31" s="588" t="s">
        <v>1063</v>
      </c>
      <c r="T31" s="651">
        <v>235.67</v>
      </c>
      <c r="U31" s="582">
        <f t="shared" si="7"/>
        <v>643.54</v>
      </c>
      <c r="V31" s="582">
        <v>151662.25</v>
      </c>
      <c r="W31" s="582">
        <v>0</v>
      </c>
      <c r="X31" s="582"/>
      <c r="Y31" s="582"/>
      <c r="Z31" s="582"/>
      <c r="AA31" s="582">
        <f t="shared" si="0"/>
        <v>151662.25</v>
      </c>
      <c r="AB31" s="582">
        <f t="shared" si="1"/>
        <v>0</v>
      </c>
      <c r="AC31" s="582">
        <f t="shared" si="2"/>
        <v>-38600</v>
      </c>
      <c r="AD31" s="584"/>
      <c r="AE31" s="582">
        <f t="shared" si="3"/>
        <v>-38600</v>
      </c>
      <c r="AF31" s="582" t="str">
        <f t="shared" si="4"/>
        <v/>
      </c>
      <c r="AG31" s="582">
        <v>0</v>
      </c>
      <c r="AH31" s="474"/>
      <c r="AI31" s="475"/>
      <c r="AJ31" s="522"/>
      <c r="AK31" s="522"/>
      <c r="AM31" s="652">
        <v>43155</v>
      </c>
      <c r="AN31" s="654">
        <v>3.77</v>
      </c>
      <c r="AO31" s="638">
        <f t="shared" si="5"/>
        <v>4524</v>
      </c>
      <c r="AP31" s="638">
        <f t="shared" si="6"/>
        <v>-38600</v>
      </c>
    </row>
    <row r="32" spans="1:42" s="638" customFormat="1" ht="15.75" customHeight="1">
      <c r="A32" s="648">
        <v>26</v>
      </c>
      <c r="B32" s="650" t="s">
        <v>2121</v>
      </c>
      <c r="C32" s="633" t="s">
        <v>2146</v>
      </c>
      <c r="D32" s="633" t="s">
        <v>1143</v>
      </c>
      <c r="E32" s="633"/>
      <c r="F32" s="633"/>
      <c r="G32" s="634" t="s">
        <v>2140</v>
      </c>
      <c r="H32" s="525"/>
      <c r="I32" s="525"/>
      <c r="J32" s="525"/>
      <c r="K32" s="525"/>
      <c r="L32" s="525"/>
      <c r="M32" s="525"/>
      <c r="N32" s="525"/>
      <c r="O32" s="525"/>
      <c r="P32" s="475"/>
      <c r="Q32" s="525"/>
      <c r="R32" s="580">
        <v>37653</v>
      </c>
      <c r="S32" s="588" t="s">
        <v>1063</v>
      </c>
      <c r="T32" s="651">
        <v>1427.65</v>
      </c>
      <c r="U32" s="582">
        <f t="shared" si="7"/>
        <v>797.7</v>
      </c>
      <c r="V32" s="582">
        <v>1138835.45</v>
      </c>
      <c r="W32" s="582">
        <v>4014.13</v>
      </c>
      <c r="X32" s="582"/>
      <c r="Y32" s="582"/>
      <c r="Z32" s="582"/>
      <c r="AA32" s="582">
        <f t="shared" si="0"/>
        <v>1138835.45</v>
      </c>
      <c r="AB32" s="582">
        <f t="shared" si="1"/>
        <v>4014.13</v>
      </c>
      <c r="AC32" s="582">
        <f t="shared" si="2"/>
        <v>-71300</v>
      </c>
      <c r="AD32" s="584"/>
      <c r="AE32" s="582">
        <f t="shared" si="3"/>
        <v>-71300</v>
      </c>
      <c r="AF32" s="582">
        <f t="shared" si="4"/>
        <v>-1876.23</v>
      </c>
      <c r="AG32" s="582">
        <v>0</v>
      </c>
      <c r="AH32" s="474"/>
      <c r="AI32" s="475"/>
      <c r="AJ32" s="522"/>
      <c r="AK32" s="522"/>
      <c r="AM32" s="652">
        <v>148422</v>
      </c>
      <c r="AN32" s="654">
        <v>64.239999999999995</v>
      </c>
      <c r="AO32" s="638">
        <f t="shared" si="5"/>
        <v>77088</v>
      </c>
      <c r="AP32" s="638">
        <f t="shared" si="6"/>
        <v>-71300</v>
      </c>
    </row>
    <row r="33" spans="1:42" s="638" customFormat="1" ht="15.75" customHeight="1">
      <c r="A33" s="648">
        <v>27</v>
      </c>
      <c r="B33" s="650" t="s">
        <v>2122</v>
      </c>
      <c r="C33" s="633" t="s">
        <v>2153</v>
      </c>
      <c r="D33" s="634" t="s">
        <v>2307</v>
      </c>
      <c r="E33" s="633"/>
      <c r="F33" s="633"/>
      <c r="G33" s="634" t="s">
        <v>2136</v>
      </c>
      <c r="H33" s="525"/>
      <c r="I33" s="525"/>
      <c r="J33" s="525"/>
      <c r="K33" s="525"/>
      <c r="L33" s="525"/>
      <c r="M33" s="525"/>
      <c r="N33" s="525"/>
      <c r="O33" s="525"/>
      <c r="P33" s="475"/>
      <c r="Q33" s="525"/>
      <c r="R33" s="580">
        <v>38749</v>
      </c>
      <c r="S33" s="588" t="s">
        <v>1063</v>
      </c>
      <c r="T33" s="651">
        <v>2102.65</v>
      </c>
      <c r="U33" s="582">
        <f t="shared" si="7"/>
        <v>1126.0899999999999</v>
      </c>
      <c r="V33" s="582">
        <v>2367764.1800000002</v>
      </c>
      <c r="W33" s="582">
        <v>0</v>
      </c>
      <c r="X33" s="582"/>
      <c r="Y33" s="582"/>
      <c r="Z33" s="582"/>
      <c r="AA33" s="582">
        <f t="shared" si="0"/>
        <v>2367764.1800000002</v>
      </c>
      <c r="AB33" s="582">
        <f t="shared" si="1"/>
        <v>0</v>
      </c>
      <c r="AC33" s="582">
        <f t="shared" si="2"/>
        <v>-322000</v>
      </c>
      <c r="AD33" s="584"/>
      <c r="AE33" s="582">
        <f t="shared" si="3"/>
        <v>-322000</v>
      </c>
      <c r="AF33" s="582" t="str">
        <f t="shared" si="4"/>
        <v/>
      </c>
      <c r="AG33" s="582">
        <v>0</v>
      </c>
      <c r="AH33" s="474"/>
      <c r="AI33" s="475"/>
      <c r="AJ33" s="522"/>
      <c r="AK33" s="522"/>
      <c r="AM33" s="652">
        <v>438096</v>
      </c>
      <c r="AN33" s="654">
        <v>96.72</v>
      </c>
      <c r="AO33" s="638">
        <f t="shared" si="5"/>
        <v>116064</v>
      </c>
      <c r="AP33" s="638">
        <f t="shared" si="6"/>
        <v>-322000</v>
      </c>
    </row>
    <row r="34" spans="1:42" s="638" customFormat="1" ht="15.75" customHeight="1">
      <c r="A34" s="648">
        <v>28</v>
      </c>
      <c r="B34" s="650" t="s">
        <v>2123</v>
      </c>
      <c r="C34" s="633" t="s">
        <v>2153</v>
      </c>
      <c r="D34" s="633" t="s">
        <v>1144</v>
      </c>
      <c r="E34" s="633"/>
      <c r="F34" s="633"/>
      <c r="G34" s="634" t="s">
        <v>2144</v>
      </c>
      <c r="H34" s="525"/>
      <c r="I34" s="525"/>
      <c r="J34" s="525"/>
      <c r="K34" s="525"/>
      <c r="L34" s="525"/>
      <c r="M34" s="525"/>
      <c r="N34" s="525"/>
      <c r="O34" s="525"/>
      <c r="P34" s="475"/>
      <c r="Q34" s="525"/>
      <c r="R34" s="580">
        <v>38750</v>
      </c>
      <c r="S34" s="588" t="s">
        <v>1063</v>
      </c>
      <c r="T34" s="651">
        <v>37.68</v>
      </c>
      <c r="U34" s="582">
        <f t="shared" si="7"/>
        <v>393.52</v>
      </c>
      <c r="V34" s="582">
        <v>14827.85</v>
      </c>
      <c r="W34" s="582">
        <v>0</v>
      </c>
      <c r="X34" s="582"/>
      <c r="Y34" s="582"/>
      <c r="Z34" s="582"/>
      <c r="AA34" s="582">
        <f t="shared" si="0"/>
        <v>14827.85</v>
      </c>
      <c r="AB34" s="582">
        <f t="shared" si="1"/>
        <v>0</v>
      </c>
      <c r="AC34" s="582">
        <f t="shared" si="2"/>
        <v>-8700</v>
      </c>
      <c r="AD34" s="584"/>
      <c r="AE34" s="582">
        <f t="shared" si="3"/>
        <v>-8700</v>
      </c>
      <c r="AF34" s="582" t="str">
        <f t="shared" si="4"/>
        <v/>
      </c>
      <c r="AG34" s="582">
        <v>0</v>
      </c>
      <c r="AH34" s="474"/>
      <c r="AI34" s="475"/>
      <c r="AJ34" s="522"/>
      <c r="AK34" s="522"/>
      <c r="AM34" s="652">
        <v>9437</v>
      </c>
      <c r="AN34" s="654">
        <v>0.6</v>
      </c>
      <c r="AO34" s="638">
        <f t="shared" si="5"/>
        <v>720</v>
      </c>
      <c r="AP34" s="638">
        <f t="shared" si="6"/>
        <v>-8700</v>
      </c>
    </row>
    <row r="35" spans="1:42" s="638" customFormat="1" ht="15.75" customHeight="1">
      <c r="A35" s="648">
        <v>29</v>
      </c>
      <c r="B35" s="650" t="s">
        <v>2124</v>
      </c>
      <c r="C35" s="633" t="s">
        <v>2150</v>
      </c>
      <c r="D35" s="633" t="s">
        <v>1151</v>
      </c>
      <c r="E35" s="633"/>
      <c r="F35" s="633"/>
      <c r="G35" s="634" t="s">
        <v>2144</v>
      </c>
      <c r="H35" s="525"/>
      <c r="I35" s="525"/>
      <c r="J35" s="525"/>
      <c r="K35" s="525"/>
      <c r="L35" s="525"/>
      <c r="M35" s="525"/>
      <c r="N35" s="525"/>
      <c r="O35" s="525"/>
      <c r="P35" s="475"/>
      <c r="Q35" s="525"/>
      <c r="R35" s="580">
        <v>37653</v>
      </c>
      <c r="S35" s="588" t="s">
        <v>1063</v>
      </c>
      <c r="T35" s="651">
        <v>25.2</v>
      </c>
      <c r="U35" s="582">
        <f t="shared" si="7"/>
        <v>573.29999999999995</v>
      </c>
      <c r="V35" s="582">
        <v>14447.25</v>
      </c>
      <c r="W35" s="582">
        <v>0</v>
      </c>
      <c r="X35" s="582"/>
      <c r="Y35" s="582"/>
      <c r="Z35" s="582"/>
      <c r="AA35" s="582">
        <f t="shared" si="0"/>
        <v>14447.25</v>
      </c>
      <c r="AB35" s="582">
        <f t="shared" si="1"/>
        <v>0</v>
      </c>
      <c r="AC35" s="582">
        <f t="shared" si="2"/>
        <v>-5800</v>
      </c>
      <c r="AD35" s="584"/>
      <c r="AE35" s="582">
        <f t="shared" si="3"/>
        <v>-5800</v>
      </c>
      <c r="AF35" s="582" t="str">
        <f t="shared" si="4"/>
        <v/>
      </c>
      <c r="AG35" s="582">
        <v>0</v>
      </c>
      <c r="AH35" s="474"/>
      <c r="AI35" s="475"/>
      <c r="AJ35" s="522"/>
      <c r="AK35" s="522"/>
      <c r="AM35" s="652">
        <v>6311</v>
      </c>
      <c r="AN35" s="654">
        <v>0.4</v>
      </c>
      <c r="AO35" s="638">
        <f t="shared" si="5"/>
        <v>480</v>
      </c>
      <c r="AP35" s="638">
        <f t="shared" si="6"/>
        <v>-5800</v>
      </c>
    </row>
    <row r="36" spans="1:42" s="638" customFormat="1" ht="15.75" customHeight="1">
      <c r="A36" s="648">
        <v>30</v>
      </c>
      <c r="B36" s="650" t="s">
        <v>2125</v>
      </c>
      <c r="C36" s="633"/>
      <c r="D36" s="634" t="s">
        <v>2308</v>
      </c>
      <c r="E36" s="633"/>
      <c r="F36" s="633"/>
      <c r="G36" s="634" t="s">
        <v>2140</v>
      </c>
      <c r="H36" s="525"/>
      <c r="I36" s="525"/>
      <c r="J36" s="525"/>
      <c r="K36" s="525"/>
      <c r="L36" s="525"/>
      <c r="M36" s="525"/>
      <c r="N36" s="525"/>
      <c r="O36" s="525"/>
      <c r="P36" s="475"/>
      <c r="Q36" s="525"/>
      <c r="R36" s="580">
        <v>39873</v>
      </c>
      <c r="S36" s="655"/>
      <c r="T36" s="640">
        <v>1200</v>
      </c>
      <c r="U36" s="582">
        <f t="shared" si="7"/>
        <v>1049.52</v>
      </c>
      <c r="V36" s="582">
        <v>1259429.06</v>
      </c>
      <c r="W36" s="582">
        <v>0</v>
      </c>
      <c r="X36" s="582"/>
      <c r="Y36" s="582"/>
      <c r="Z36" s="582"/>
      <c r="AA36" s="582">
        <f t="shared" si="0"/>
        <v>1259429.06</v>
      </c>
      <c r="AB36" s="582">
        <f t="shared" si="1"/>
        <v>0</v>
      </c>
      <c r="AC36" s="582">
        <f t="shared" si="2"/>
        <v>-61000</v>
      </c>
      <c r="AD36" s="584"/>
      <c r="AE36" s="582">
        <f t="shared" si="3"/>
        <v>-61000</v>
      </c>
      <c r="AF36" s="582" t="str">
        <f t="shared" si="4"/>
        <v/>
      </c>
      <c r="AG36" s="582">
        <v>0</v>
      </c>
      <c r="AH36" s="474"/>
      <c r="AI36" s="475"/>
      <c r="AJ36" s="522"/>
      <c r="AK36" s="522"/>
      <c r="AM36" s="652">
        <v>125775</v>
      </c>
      <c r="AN36" s="638">
        <v>54</v>
      </c>
      <c r="AO36" s="638">
        <f t="shared" si="5"/>
        <v>64800</v>
      </c>
      <c r="AP36" s="638">
        <f t="shared" si="6"/>
        <v>-61000</v>
      </c>
    </row>
    <row r="37" spans="1:42" s="638" customFormat="1" ht="15.75" customHeight="1">
      <c r="A37" s="648">
        <v>31</v>
      </c>
      <c r="B37" s="650" t="s">
        <v>2126</v>
      </c>
      <c r="C37" s="633" t="s">
        <v>2154</v>
      </c>
      <c r="D37" s="633" t="s">
        <v>1153</v>
      </c>
      <c r="E37" s="633"/>
      <c r="F37" s="633"/>
      <c r="G37" s="634" t="s">
        <v>2144</v>
      </c>
      <c r="H37" s="525"/>
      <c r="I37" s="525"/>
      <c r="J37" s="525"/>
      <c r="K37" s="525"/>
      <c r="L37" s="525"/>
      <c r="M37" s="525"/>
      <c r="N37" s="525"/>
      <c r="O37" s="525"/>
      <c r="P37" s="475"/>
      <c r="Q37" s="525"/>
      <c r="R37" s="580">
        <v>37653</v>
      </c>
      <c r="S37" s="588" t="s">
        <v>1063</v>
      </c>
      <c r="T37" s="640">
        <v>87.12</v>
      </c>
      <c r="U37" s="582">
        <f t="shared" si="7"/>
        <v>400.25</v>
      </c>
      <c r="V37" s="582">
        <v>34869.440000000002</v>
      </c>
      <c r="W37" s="582">
        <v>0</v>
      </c>
      <c r="X37" s="582"/>
      <c r="Y37" s="582"/>
      <c r="Z37" s="582"/>
      <c r="AA37" s="582">
        <f t="shared" si="0"/>
        <v>34869.440000000002</v>
      </c>
      <c r="AB37" s="582">
        <f t="shared" si="1"/>
        <v>0</v>
      </c>
      <c r="AC37" s="582">
        <f t="shared" si="2"/>
        <v>-20200</v>
      </c>
      <c r="AD37" s="584"/>
      <c r="AE37" s="582">
        <f t="shared" si="3"/>
        <v>-20200</v>
      </c>
      <c r="AF37" s="582" t="str">
        <f t="shared" si="4"/>
        <v/>
      </c>
      <c r="AG37" s="582">
        <v>0</v>
      </c>
      <c r="AH37" s="474"/>
      <c r="AI37" s="475"/>
      <c r="AJ37" s="522"/>
      <c r="AK37" s="522"/>
      <c r="AM37" s="652">
        <v>21819</v>
      </c>
      <c r="AN37" s="654">
        <v>1.31</v>
      </c>
      <c r="AO37" s="638">
        <f t="shared" si="5"/>
        <v>1572</v>
      </c>
      <c r="AP37" s="638">
        <f t="shared" si="6"/>
        <v>-20200</v>
      </c>
    </row>
    <row r="38" spans="1:42" s="638" customFormat="1" ht="15.75" customHeight="1">
      <c r="A38" s="648">
        <v>32</v>
      </c>
      <c r="B38" s="650" t="s">
        <v>2127</v>
      </c>
      <c r="C38" s="633" t="s">
        <v>2154</v>
      </c>
      <c r="D38" s="633" t="s">
        <v>1154</v>
      </c>
      <c r="E38" s="633"/>
      <c r="F38" s="633"/>
      <c r="G38" s="634" t="s">
        <v>2144</v>
      </c>
      <c r="H38" s="525"/>
      <c r="I38" s="525"/>
      <c r="J38" s="525"/>
      <c r="K38" s="525"/>
      <c r="L38" s="525"/>
      <c r="M38" s="525"/>
      <c r="N38" s="525"/>
      <c r="O38" s="525"/>
      <c r="P38" s="475"/>
      <c r="Q38" s="525"/>
      <c r="R38" s="580">
        <v>37653</v>
      </c>
      <c r="S38" s="655"/>
      <c r="T38" s="640">
        <v>80.319999999999993</v>
      </c>
      <c r="U38" s="582">
        <f t="shared" si="7"/>
        <v>242.77</v>
      </c>
      <c r="V38" s="582">
        <v>19499.36</v>
      </c>
      <c r="W38" s="582">
        <v>0</v>
      </c>
      <c r="X38" s="582"/>
      <c r="Y38" s="582"/>
      <c r="Z38" s="582"/>
      <c r="AA38" s="582">
        <f t="shared" si="0"/>
        <v>19499.36</v>
      </c>
      <c r="AB38" s="582">
        <f t="shared" si="1"/>
        <v>0</v>
      </c>
      <c r="AC38" s="582">
        <f t="shared" si="2"/>
        <v>-18700</v>
      </c>
      <c r="AD38" s="584"/>
      <c r="AE38" s="582">
        <f t="shared" si="3"/>
        <v>-18700</v>
      </c>
      <c r="AF38" s="582" t="str">
        <f t="shared" si="4"/>
        <v/>
      </c>
      <c r="AG38" s="582">
        <v>0</v>
      </c>
      <c r="AH38" s="474"/>
      <c r="AI38" s="475"/>
      <c r="AJ38" s="522"/>
      <c r="AK38" s="522"/>
      <c r="AM38" s="652">
        <v>20116</v>
      </c>
      <c r="AN38" s="654">
        <v>1.21</v>
      </c>
      <c r="AO38" s="638">
        <f t="shared" si="5"/>
        <v>1452</v>
      </c>
      <c r="AP38" s="638">
        <f t="shared" si="6"/>
        <v>-18700</v>
      </c>
    </row>
    <row r="39" spans="1:42" s="638" customFormat="1" ht="15.75" customHeight="1">
      <c r="A39" s="648">
        <v>33</v>
      </c>
      <c r="B39" s="650" t="s">
        <v>2128</v>
      </c>
      <c r="C39" s="633" t="s">
        <v>2155</v>
      </c>
      <c r="D39" s="633" t="s">
        <v>1155</v>
      </c>
      <c r="E39" s="633"/>
      <c r="F39" s="633"/>
      <c r="G39" s="634" t="s">
        <v>2144</v>
      </c>
      <c r="H39" s="525"/>
      <c r="I39" s="525"/>
      <c r="J39" s="525"/>
      <c r="K39" s="525"/>
      <c r="L39" s="525"/>
      <c r="M39" s="525"/>
      <c r="N39" s="525"/>
      <c r="O39" s="525"/>
      <c r="P39" s="475"/>
      <c r="Q39" s="525"/>
      <c r="R39" s="580">
        <v>37653</v>
      </c>
      <c r="S39" s="588" t="s">
        <v>1063</v>
      </c>
      <c r="T39" s="651">
        <v>13.31</v>
      </c>
      <c r="U39" s="582">
        <f t="shared" si="7"/>
        <v>572.69000000000005</v>
      </c>
      <c r="V39" s="582">
        <v>7622.48</v>
      </c>
      <c r="W39" s="582">
        <v>0</v>
      </c>
      <c r="X39" s="582"/>
      <c r="Y39" s="582"/>
      <c r="Z39" s="582"/>
      <c r="AA39" s="582">
        <f t="shared" si="0"/>
        <v>7622.48</v>
      </c>
      <c r="AB39" s="582">
        <f t="shared" si="1"/>
        <v>0</v>
      </c>
      <c r="AC39" s="582">
        <f t="shared" si="2"/>
        <v>-3100</v>
      </c>
      <c r="AD39" s="584"/>
      <c r="AE39" s="582">
        <f t="shared" si="3"/>
        <v>-3100</v>
      </c>
      <c r="AF39" s="582" t="str">
        <f t="shared" si="4"/>
        <v/>
      </c>
      <c r="AG39" s="582">
        <v>0</v>
      </c>
      <c r="AH39" s="474"/>
      <c r="AI39" s="475"/>
      <c r="AJ39" s="522"/>
      <c r="AK39" s="522"/>
      <c r="AM39" s="652">
        <v>3334</v>
      </c>
      <c r="AN39" s="654">
        <v>0.2</v>
      </c>
      <c r="AO39" s="638">
        <f t="shared" si="5"/>
        <v>240</v>
      </c>
      <c r="AP39" s="638">
        <f t="shared" si="6"/>
        <v>-3100</v>
      </c>
    </row>
    <row r="40" spans="1:42" s="638" customFormat="1" ht="15.75" customHeight="1">
      <c r="A40" s="648">
        <v>34</v>
      </c>
      <c r="B40" s="650" t="s">
        <v>2129</v>
      </c>
      <c r="C40" s="633" t="s">
        <v>2155</v>
      </c>
      <c r="D40" s="633" t="s">
        <v>1156</v>
      </c>
      <c r="E40" s="633"/>
      <c r="F40" s="633"/>
      <c r="G40" s="634" t="s">
        <v>2144</v>
      </c>
      <c r="H40" s="525"/>
      <c r="I40" s="525"/>
      <c r="J40" s="525"/>
      <c r="K40" s="525"/>
      <c r="L40" s="525"/>
      <c r="M40" s="525"/>
      <c r="N40" s="525"/>
      <c r="O40" s="525"/>
      <c r="P40" s="475"/>
      <c r="Q40" s="525"/>
      <c r="R40" s="580">
        <v>37653</v>
      </c>
      <c r="S40" s="588" t="s">
        <v>1063</v>
      </c>
      <c r="T40" s="651">
        <v>350.15</v>
      </c>
      <c r="U40" s="582">
        <f t="shared" si="7"/>
        <v>576.12</v>
      </c>
      <c r="V40" s="582">
        <v>201729.71</v>
      </c>
      <c r="W40" s="582">
        <v>4711.1099999999997</v>
      </c>
      <c r="X40" s="582"/>
      <c r="Y40" s="582"/>
      <c r="Z40" s="582"/>
      <c r="AA40" s="582">
        <f t="shared" si="0"/>
        <v>201729.71</v>
      </c>
      <c r="AB40" s="582">
        <f t="shared" si="1"/>
        <v>4711.1099999999997</v>
      </c>
      <c r="AC40" s="582">
        <f t="shared" si="2"/>
        <v>-79300</v>
      </c>
      <c r="AD40" s="584"/>
      <c r="AE40" s="582">
        <f t="shared" si="3"/>
        <v>-79300</v>
      </c>
      <c r="AF40" s="582">
        <f t="shared" si="4"/>
        <v>-1783.26</v>
      </c>
      <c r="AG40" s="582">
        <v>0</v>
      </c>
      <c r="AH40" s="474"/>
      <c r="AI40" s="475"/>
      <c r="AJ40" s="522"/>
      <c r="AK40" s="522"/>
      <c r="AM40" s="652">
        <v>87696</v>
      </c>
      <c r="AN40" s="654">
        <v>7</v>
      </c>
      <c r="AO40" s="638">
        <f t="shared" si="5"/>
        <v>8400</v>
      </c>
      <c r="AP40" s="638">
        <f t="shared" si="6"/>
        <v>-79300</v>
      </c>
    </row>
    <row r="41" spans="1:42" s="638" customFormat="1" ht="15.75" customHeight="1">
      <c r="A41" s="648"/>
      <c r="B41" s="648"/>
      <c r="C41" s="474"/>
      <c r="D41" s="474"/>
      <c r="E41" s="475"/>
      <c r="F41" s="475"/>
      <c r="G41" s="477"/>
      <c r="H41" s="525"/>
      <c r="I41" s="525"/>
      <c r="J41" s="525"/>
      <c r="K41" s="525"/>
      <c r="L41" s="525"/>
      <c r="M41" s="525"/>
      <c r="N41" s="525"/>
      <c r="O41" s="525"/>
      <c r="P41" s="475"/>
      <c r="Q41" s="525"/>
      <c r="R41" s="656"/>
      <c r="S41" s="588"/>
      <c r="T41" s="595"/>
      <c r="U41" s="582"/>
      <c r="V41" s="582"/>
      <c r="W41" s="582"/>
      <c r="X41" s="582"/>
      <c r="Y41" s="582"/>
      <c r="Z41" s="582"/>
      <c r="AA41" s="582"/>
      <c r="AB41" s="582"/>
      <c r="AC41" s="582"/>
      <c r="AD41" s="584"/>
      <c r="AE41" s="582"/>
      <c r="AF41" s="582"/>
      <c r="AG41" s="582"/>
      <c r="AH41" s="474"/>
      <c r="AI41" s="475"/>
      <c r="AJ41" s="522"/>
      <c r="AK41" s="522"/>
      <c r="AP41" s="657">
        <f>SUM(AP7:AP40)</f>
        <v>-1626800</v>
      </c>
    </row>
    <row r="42" spans="1:42" s="638" customFormat="1" ht="15.75" customHeight="1">
      <c r="A42" s="627"/>
      <c r="B42" s="627"/>
      <c r="C42" s="474"/>
      <c r="D42" s="474"/>
      <c r="E42" s="475"/>
      <c r="F42" s="475"/>
      <c r="G42" s="482"/>
      <c r="H42" s="525"/>
      <c r="I42" s="525"/>
      <c r="J42" s="525"/>
      <c r="K42" s="525"/>
      <c r="L42" s="525"/>
      <c r="M42" s="525"/>
      <c r="N42" s="525"/>
      <c r="O42" s="525"/>
      <c r="P42" s="475"/>
      <c r="Q42" s="525"/>
      <c r="R42" s="588"/>
      <c r="S42" s="588"/>
      <c r="T42" s="595"/>
      <c r="U42" s="582"/>
      <c r="V42" s="582"/>
      <c r="W42" s="582"/>
      <c r="X42" s="582"/>
      <c r="Y42" s="582"/>
      <c r="Z42" s="582"/>
      <c r="AA42" s="582"/>
      <c r="AB42" s="582"/>
      <c r="AC42" s="582"/>
      <c r="AD42" s="584"/>
      <c r="AE42" s="582"/>
      <c r="AF42" s="582"/>
      <c r="AG42" s="582"/>
      <c r="AH42" s="474"/>
      <c r="AI42" s="475"/>
      <c r="AJ42" s="522"/>
      <c r="AK42" s="522"/>
    </row>
    <row r="43" spans="1:42" s="638" customFormat="1" ht="15.75" customHeight="1">
      <c r="A43" s="883" t="s">
        <v>2130</v>
      </c>
      <c r="B43" s="884"/>
      <c r="C43" s="884"/>
      <c r="D43" s="885"/>
      <c r="E43" s="643"/>
      <c r="F43" s="643"/>
      <c r="G43" s="482"/>
      <c r="H43" s="525"/>
      <c r="I43" s="525"/>
      <c r="J43" s="525"/>
      <c r="K43" s="525"/>
      <c r="L43" s="525"/>
      <c r="M43" s="525"/>
      <c r="N43" s="525"/>
      <c r="O43" s="525"/>
      <c r="P43" s="525"/>
      <c r="Q43" s="525"/>
      <c r="R43" s="588"/>
      <c r="S43" s="588"/>
      <c r="T43" s="522"/>
      <c r="U43" s="582"/>
      <c r="V43" s="582">
        <f>SUM(V7:V42)</f>
        <v>15956020.76</v>
      </c>
      <c r="W43" s="582">
        <f>SUM(W7:W42)</f>
        <v>16112.65</v>
      </c>
      <c r="X43" s="582"/>
      <c r="Y43" s="582"/>
      <c r="Z43" s="582"/>
      <c r="AA43" s="582"/>
      <c r="AB43" s="582"/>
      <c r="AC43" s="582"/>
      <c r="AD43" s="584"/>
      <c r="AE43" s="582"/>
      <c r="AF43" s="582" t="str">
        <f>IF(AB43=0,"",(AE43-AB43)/AB43*100)</f>
        <v/>
      </c>
      <c r="AG43" s="582"/>
      <c r="AH43" s="474"/>
      <c r="AI43" s="475"/>
      <c r="AJ43" s="522"/>
      <c r="AK43" s="522"/>
    </row>
    <row r="44" spans="1:42" s="638" customFormat="1" ht="15.75" customHeight="1">
      <c r="A44" s="101" t="e">
        <f>#REF!&amp;#REF!</f>
        <v>#REF!</v>
      </c>
      <c r="B44" s="644"/>
      <c r="J44" s="645"/>
      <c r="K44" s="645"/>
      <c r="L44" s="645"/>
      <c r="AA44" s="646" t="e">
        <f>"评估人员："&amp;#REF!</f>
        <v>#REF!</v>
      </c>
    </row>
    <row r="45" spans="1:42" s="638" customFormat="1" ht="15.75" customHeight="1">
      <c r="A45" s="101" t="e">
        <f>CONCATENATE(#REF!,#REF!,#REF!,#REF!,#REF!,#REF!,#REF!)</f>
        <v>#REF!</v>
      </c>
      <c r="B45" s="644"/>
      <c r="J45" s="645"/>
      <c r="K45" s="645"/>
      <c r="L45" s="645"/>
    </row>
    <row r="46" spans="1:42" s="469" customFormat="1" ht="15.75" customHeight="1">
      <c r="J46" s="606"/>
      <c r="K46" s="606"/>
      <c r="L46" s="606"/>
    </row>
    <row r="47" spans="1:42" s="469" customFormat="1" ht="15.75" customHeight="1">
      <c r="J47" s="606"/>
      <c r="K47" s="606"/>
      <c r="L47" s="606"/>
    </row>
    <row r="48" spans="1:42" s="469" customFormat="1" ht="15.75" customHeight="1">
      <c r="J48" s="606"/>
      <c r="K48" s="606"/>
      <c r="L48" s="606"/>
    </row>
    <row r="49" spans="10:12" s="469" customFormat="1" ht="15.75" customHeight="1">
      <c r="J49" s="606"/>
      <c r="K49" s="606"/>
      <c r="L49" s="606"/>
    </row>
    <row r="50" spans="10:12" s="469" customFormat="1" ht="15.75" customHeight="1">
      <c r="J50" s="606"/>
      <c r="K50" s="606"/>
      <c r="L50" s="606"/>
    </row>
    <row r="51" spans="10:12" s="469" customFormat="1" ht="15.75" customHeight="1">
      <c r="J51" s="606"/>
      <c r="K51" s="606"/>
      <c r="L51" s="606"/>
    </row>
  </sheetData>
  <autoFilter ref="A6:BF6">
    <sortState ref="A8:AT40">
      <sortCondition ref="A6"/>
    </sortState>
  </autoFilter>
  <mergeCells count="34">
    <mergeCell ref="AI5:AI6"/>
    <mergeCell ref="AH5:AH6"/>
    <mergeCell ref="Y5:Z5"/>
    <mergeCell ref="V5:X5"/>
    <mergeCell ref="AK5:AK6"/>
    <mergeCell ref="AJ5:AJ6"/>
    <mergeCell ref="AF5:AF6"/>
    <mergeCell ref="A2:AG2"/>
    <mergeCell ref="H5:H6"/>
    <mergeCell ref="AG5:AG6"/>
    <mergeCell ref="AA5:AB5"/>
    <mergeCell ref="AC5:AE5"/>
    <mergeCell ref="I5:I6"/>
    <mergeCell ref="B5:B6"/>
    <mergeCell ref="T5:T6"/>
    <mergeCell ref="U5:U6"/>
    <mergeCell ref="S5:S6"/>
    <mergeCell ref="K5:K6"/>
    <mergeCell ref="J5:J6"/>
    <mergeCell ref="L5:L6"/>
    <mergeCell ref="M5:M6"/>
    <mergeCell ref="N5:N6"/>
    <mergeCell ref="O5:O6"/>
    <mergeCell ref="A43:D43"/>
    <mergeCell ref="A3:AH3"/>
    <mergeCell ref="E5:E6"/>
    <mergeCell ref="A5:A6"/>
    <mergeCell ref="C5:C6"/>
    <mergeCell ref="D5:D6"/>
    <mergeCell ref="G5:G6"/>
    <mergeCell ref="Q5:Q6"/>
    <mergeCell ref="P5:P6"/>
    <mergeCell ref="R5:R6"/>
    <mergeCell ref="F5:F6"/>
  </mergeCells>
  <phoneticPr fontId="6" type="noConversion"/>
  <hyperlinks>
    <hyperlink ref="A1" location="索引目录!E35" display="房屋建筑物"/>
    <hyperlink ref="C1" location="固定资产汇总!B8" display="固定资产-房屋建筑物"/>
  </hyperlinks>
  <printOptions horizontalCentered="1"/>
  <pageMargins left="0.35433070866141736" right="0.35433070866141736" top="0.78740157480314965" bottom="0.78740157480314965" header="1.01" footer="0.51181102362204722"/>
  <pageSetup paperSize="9" scale="50" fitToHeight="0" orientation="landscape" horizontalDpi="4294967292" r:id="rId1"/>
  <headerFooter alignWithMargins="0">
    <oddHeader>&amp;R&amp;"宋体,常规"&amp;10表&amp;"Times New Roman,常规"4-6-1
&amp;"宋体,常规"共&amp;"Times New Roman,常规"&amp;N&amp;"宋体,常规"页第&amp;"Times New Roman,常规"&amp;P&amp;"宋体,常规"页</oddHead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pageSetUpPr fitToPage="1"/>
  </sheetPr>
  <dimension ref="A1:CF150"/>
  <sheetViews>
    <sheetView workbookViewId="0">
      <pane xSplit="5" ySplit="6" topLeftCell="F139" activePane="bottomRight" state="frozen"/>
      <selection activeCell="AE46" sqref="AE46"/>
      <selection pane="topRight" activeCell="AE46" sqref="AE46"/>
      <selection pane="bottomLeft" activeCell="AE46" sqref="AE46"/>
      <selection pane="bottomRight" activeCell="AE46" sqref="AE46"/>
    </sheetView>
  </sheetViews>
  <sheetFormatPr defaultRowHeight="15.75" customHeight="1" outlineLevelCol="1"/>
  <cols>
    <col min="1" max="1" width="4.5" style="4" customWidth="1"/>
    <col min="2" max="2" width="10.25" style="4" hidden="1" customWidth="1" outlineLevel="1"/>
    <col min="3" max="3" width="19.5" style="4" customWidth="1" collapsed="1"/>
    <col min="4" max="4" width="9.75" style="4" customWidth="1"/>
    <col min="5" max="5" width="8" style="4" hidden="1" customWidth="1" outlineLevel="1"/>
    <col min="6" max="6" width="8.375" style="4" customWidth="1" collapsed="1"/>
    <col min="7" max="7" width="4.375" style="4" customWidth="1"/>
    <col min="8" max="9" width="5.125" style="4" customWidth="1"/>
    <col min="10" max="10" width="5.25" style="4" customWidth="1"/>
    <col min="11" max="11" width="7.75" style="4" customWidth="1"/>
    <col min="12" max="12" width="9.5" style="4" hidden="1" customWidth="1" outlineLevel="1"/>
    <col min="13" max="13" width="8.75" style="4" hidden="1" customWidth="1" outlineLevel="1"/>
    <col min="14" max="14" width="6.875" style="4" hidden="1" customWidth="1" outlineLevel="1"/>
    <col min="15" max="16" width="4.5" style="4" hidden="1" customWidth="1" outlineLevel="1"/>
    <col min="17" max="17" width="10.25" style="4" customWidth="1" collapsed="1"/>
    <col min="18" max="18" width="9.125" style="4" customWidth="1"/>
    <col min="19" max="19" width="9.25" style="4" customWidth="1" outlineLevel="1"/>
    <col min="20" max="20" width="4.875" style="4" customWidth="1" outlineLevel="1"/>
    <col min="21" max="21" width="9.375" style="4" customWidth="1" outlineLevel="1"/>
    <col min="22" max="22" width="5.5" style="4" customWidth="1" outlineLevel="1"/>
    <col min="23" max="23" width="7.625" style="4" customWidth="1"/>
    <col min="24" max="24" width="5.25" style="4" customWidth="1"/>
    <col min="25" max="25" width="9" style="4"/>
    <col min="26" max="26" width="5.875" style="4" customWidth="1"/>
    <col min="27" max="28" width="7.125" style="4" customWidth="1"/>
    <col min="29" max="16384" width="9" style="4"/>
  </cols>
  <sheetData>
    <row r="1" spans="1:84" ht="8.25" customHeight="1">
      <c r="A1" s="272" t="s">
        <v>130</v>
      </c>
      <c r="B1" s="272"/>
      <c r="C1" s="196" t="s">
        <v>131</v>
      </c>
      <c r="D1" s="1"/>
      <c r="E1" s="1"/>
      <c r="F1" s="1"/>
      <c r="G1" s="1"/>
      <c r="H1" s="1"/>
      <c r="I1" s="1"/>
      <c r="J1" s="1"/>
      <c r="K1" s="1"/>
      <c r="L1" s="1"/>
      <c r="M1" s="1"/>
      <c r="N1" s="1"/>
      <c r="O1" s="1"/>
      <c r="P1" s="1"/>
      <c r="Q1" s="1"/>
      <c r="R1" s="1"/>
      <c r="S1" s="1"/>
      <c r="T1" s="1"/>
      <c r="U1" s="1"/>
      <c r="V1" s="1"/>
      <c r="W1" s="1"/>
      <c r="X1" s="1"/>
    </row>
    <row r="2" spans="1:84" s="114" customFormat="1" ht="30" customHeight="1">
      <c r="A2" s="790" t="s">
        <v>883</v>
      </c>
      <c r="B2" s="790"/>
      <c r="C2" s="791"/>
      <c r="D2" s="791"/>
      <c r="E2" s="791"/>
      <c r="F2" s="791"/>
      <c r="G2" s="791"/>
      <c r="H2" s="791"/>
      <c r="I2" s="791"/>
      <c r="J2" s="791"/>
      <c r="K2" s="791"/>
      <c r="L2" s="791"/>
      <c r="M2" s="791"/>
      <c r="N2" s="791"/>
      <c r="O2" s="791"/>
      <c r="P2" s="791"/>
      <c r="Q2" s="791"/>
      <c r="R2" s="791"/>
      <c r="S2" s="791"/>
      <c r="T2" s="791"/>
      <c r="U2" s="791"/>
      <c r="V2" s="791"/>
      <c r="W2" s="791"/>
      <c r="X2" s="791"/>
    </row>
    <row r="3" spans="1:84" ht="14.1" customHeight="1">
      <c r="A3" s="792" t="e">
        <f>CONCATENATE(#REF!,#REF!,#REF!,#REF!,#REF!,#REF!,#REF!)</f>
        <v>#REF!</v>
      </c>
      <c r="B3" s="792"/>
      <c r="C3" s="792"/>
      <c r="D3" s="792"/>
      <c r="E3" s="792"/>
      <c r="F3" s="792"/>
      <c r="G3" s="792"/>
      <c r="H3" s="792"/>
      <c r="I3" s="792"/>
      <c r="J3" s="792"/>
      <c r="K3" s="808"/>
      <c r="L3" s="808"/>
      <c r="M3" s="808"/>
      <c r="N3" s="808"/>
      <c r="O3" s="808"/>
      <c r="P3" s="808"/>
      <c r="Q3" s="808"/>
      <c r="R3" s="808"/>
      <c r="S3" s="808"/>
      <c r="T3" s="808"/>
      <c r="U3" s="808"/>
      <c r="V3" s="808"/>
      <c r="W3" s="808"/>
      <c r="X3" s="808"/>
    </row>
    <row r="4" spans="1:84" ht="15.75" customHeight="1">
      <c r="A4" s="115" t="e">
        <f>#REF!&amp;#REF!</f>
        <v>#REF!</v>
      </c>
      <c r="B4" s="115"/>
      <c r="X4" s="106" t="s">
        <v>3</v>
      </c>
    </row>
    <row r="5" spans="1:84" s="1" customFormat="1" ht="15.75" customHeight="1">
      <c r="A5" s="815" t="s">
        <v>4</v>
      </c>
      <c r="B5" s="817" t="s">
        <v>938</v>
      </c>
      <c r="C5" s="816" t="s">
        <v>275</v>
      </c>
      <c r="D5" s="815" t="s">
        <v>255</v>
      </c>
      <c r="E5" s="895" t="s">
        <v>88</v>
      </c>
      <c r="F5" s="837" t="s">
        <v>326</v>
      </c>
      <c r="G5" s="837" t="s">
        <v>331</v>
      </c>
      <c r="H5" s="837" t="s">
        <v>333</v>
      </c>
      <c r="I5" s="900" t="s">
        <v>2086</v>
      </c>
      <c r="J5" s="817" t="s">
        <v>267</v>
      </c>
      <c r="K5" s="837" t="s">
        <v>280</v>
      </c>
      <c r="L5" s="821" t="s">
        <v>426</v>
      </c>
      <c r="M5" s="822"/>
      <c r="N5" s="823"/>
      <c r="O5" s="821" t="s">
        <v>710</v>
      </c>
      <c r="P5" s="890"/>
      <c r="Q5" s="837" t="s">
        <v>315</v>
      </c>
      <c r="R5" s="838"/>
      <c r="S5" s="837" t="s">
        <v>0</v>
      </c>
      <c r="T5" s="838"/>
      <c r="U5" s="838"/>
      <c r="V5" s="837" t="s">
        <v>20</v>
      </c>
      <c r="W5" s="837" t="s">
        <v>281</v>
      </c>
      <c r="X5" s="837" t="s">
        <v>72</v>
      </c>
      <c r="Y5" s="658" t="s">
        <v>2131</v>
      </c>
      <c r="Z5" s="658" t="s">
        <v>2156</v>
      </c>
      <c r="AA5" s="658" t="s">
        <v>2157</v>
      </c>
      <c r="AB5" s="658" t="s">
        <v>2134</v>
      </c>
    </row>
    <row r="6" spans="1:84" s="116" customFormat="1" ht="24" customHeight="1">
      <c r="A6" s="816"/>
      <c r="B6" s="827"/>
      <c r="C6" s="816"/>
      <c r="D6" s="816"/>
      <c r="E6" s="896"/>
      <c r="F6" s="816"/>
      <c r="G6" s="816"/>
      <c r="H6" s="816"/>
      <c r="I6" s="901"/>
      <c r="J6" s="818"/>
      <c r="K6" s="816"/>
      <c r="L6" s="102" t="s">
        <v>270</v>
      </c>
      <c r="M6" s="102" t="s">
        <v>939</v>
      </c>
      <c r="N6" s="473" t="s">
        <v>933</v>
      </c>
      <c r="O6" s="102" t="s">
        <v>270</v>
      </c>
      <c r="P6" s="102" t="s">
        <v>271</v>
      </c>
      <c r="Q6" s="102" t="s">
        <v>270</v>
      </c>
      <c r="R6" s="102" t="s">
        <v>271</v>
      </c>
      <c r="S6" s="102" t="s">
        <v>270</v>
      </c>
      <c r="T6" s="647" t="s">
        <v>272</v>
      </c>
      <c r="U6" s="102" t="s">
        <v>271</v>
      </c>
      <c r="V6" s="816"/>
      <c r="W6" s="816"/>
      <c r="X6" s="816"/>
      <c r="Y6" s="659"/>
      <c r="Z6" s="659"/>
      <c r="AA6" s="659">
        <v>1200</v>
      </c>
      <c r="AB6" s="659"/>
    </row>
    <row r="7" spans="1:84" s="663" customFormat="1" ht="15.75" customHeight="1">
      <c r="A7" s="635">
        <v>1</v>
      </c>
      <c r="B7" s="642">
        <v>1571169</v>
      </c>
      <c r="C7" s="633" t="s">
        <v>1108</v>
      </c>
      <c r="D7" s="634" t="s">
        <v>2143</v>
      </c>
      <c r="E7" s="633"/>
      <c r="F7" s="580">
        <v>40940</v>
      </c>
      <c r="G7" s="660">
        <v>3.6</v>
      </c>
      <c r="H7" s="660">
        <v>3</v>
      </c>
      <c r="I7" s="660">
        <v>3.2</v>
      </c>
      <c r="J7" s="661" t="s">
        <v>2159</v>
      </c>
      <c r="K7" s="662">
        <f>G7*H7*I7</f>
        <v>34.56</v>
      </c>
      <c r="L7" s="636">
        <v>25910.5</v>
      </c>
      <c r="M7" s="636">
        <v>2214.5700000000002</v>
      </c>
      <c r="N7" s="636"/>
      <c r="O7" s="636"/>
      <c r="P7" s="636"/>
      <c r="Q7" s="636">
        <f t="shared" ref="Q7:R31" si="0">L7+O7</f>
        <v>25910.5</v>
      </c>
      <c r="R7" s="636">
        <f t="shared" si="0"/>
        <v>2214.5700000000002</v>
      </c>
      <c r="S7" s="636">
        <f>AB7</f>
        <v>-9800</v>
      </c>
      <c r="T7" s="637"/>
      <c r="U7" s="636">
        <f>S7</f>
        <v>-9800</v>
      </c>
      <c r="V7" s="636">
        <f>IF(R7=0,"",(U7-R7)/R7*100)</f>
        <v>-542.52</v>
      </c>
      <c r="W7" s="636"/>
      <c r="X7" s="633"/>
      <c r="Y7" s="645">
        <v>9835.7199999999993</v>
      </c>
      <c r="Z7" s="645"/>
      <c r="AA7" s="645">
        <f>Z7*1200</f>
        <v>0</v>
      </c>
      <c r="AB7" s="645">
        <f>ROUND(AA7-Y7,-2)</f>
        <v>-9800</v>
      </c>
      <c r="AC7" s="645"/>
      <c r="AD7" s="645"/>
      <c r="AE7" s="645"/>
      <c r="AF7" s="645"/>
      <c r="AG7" s="645"/>
      <c r="AH7" s="645"/>
      <c r="AI7" s="645"/>
      <c r="AJ7" s="645"/>
      <c r="AK7" s="645"/>
      <c r="AL7" s="645"/>
      <c r="AM7" s="645"/>
      <c r="AN7" s="645"/>
      <c r="AO7" s="645"/>
      <c r="AP7" s="645"/>
      <c r="AQ7" s="645"/>
      <c r="AR7" s="645"/>
      <c r="AS7" s="645"/>
      <c r="AT7" s="645"/>
      <c r="AU7" s="645"/>
      <c r="AV7" s="645"/>
      <c r="AW7" s="645"/>
      <c r="AX7" s="645"/>
      <c r="AY7" s="645"/>
      <c r="AZ7" s="645"/>
      <c r="BA7" s="645"/>
      <c r="BB7" s="645"/>
      <c r="BC7" s="645"/>
      <c r="BD7" s="645"/>
      <c r="BE7" s="645"/>
      <c r="BF7" s="645"/>
      <c r="BG7" s="645"/>
      <c r="BH7" s="645"/>
      <c r="BI7" s="645"/>
      <c r="BJ7" s="645"/>
      <c r="BK7" s="645"/>
      <c r="BL7" s="645"/>
      <c r="BM7" s="645"/>
      <c r="BN7" s="645"/>
      <c r="BO7" s="645"/>
      <c r="BP7" s="645"/>
      <c r="BQ7" s="645"/>
      <c r="BR7" s="645"/>
      <c r="BS7" s="645"/>
      <c r="BT7" s="645"/>
      <c r="BU7" s="645"/>
      <c r="BV7" s="645"/>
      <c r="BW7" s="645"/>
      <c r="BX7" s="645"/>
      <c r="BY7" s="645"/>
      <c r="BZ7" s="645"/>
      <c r="CA7" s="645"/>
      <c r="CB7" s="645"/>
      <c r="CC7" s="645"/>
      <c r="CD7" s="645"/>
      <c r="CE7" s="645"/>
      <c r="CF7" s="645"/>
    </row>
    <row r="8" spans="1:84" s="663" customFormat="1" ht="15.75" customHeight="1">
      <c r="A8" s="635">
        <v>2</v>
      </c>
      <c r="B8" s="642">
        <v>1571170</v>
      </c>
      <c r="C8" s="633" t="s">
        <v>1109</v>
      </c>
      <c r="D8" s="634" t="s">
        <v>2135</v>
      </c>
      <c r="E8" s="633"/>
      <c r="F8" s="580">
        <v>40941</v>
      </c>
      <c r="G8" s="660">
        <v>3.6</v>
      </c>
      <c r="H8" s="660">
        <v>3</v>
      </c>
      <c r="I8" s="660">
        <v>3.2</v>
      </c>
      <c r="J8" s="661" t="s">
        <v>2159</v>
      </c>
      <c r="K8" s="662">
        <f>G8*H8*I8</f>
        <v>34.56</v>
      </c>
      <c r="L8" s="636">
        <v>30089.5</v>
      </c>
      <c r="M8" s="636">
        <v>0</v>
      </c>
      <c r="N8" s="636"/>
      <c r="O8" s="636"/>
      <c r="P8" s="636"/>
      <c r="Q8" s="636">
        <f t="shared" si="0"/>
        <v>30089.5</v>
      </c>
      <c r="R8" s="636">
        <f t="shared" si="0"/>
        <v>0</v>
      </c>
      <c r="S8" s="636">
        <f t="shared" ref="S8:S32" si="1">AB8</f>
        <v>-9200</v>
      </c>
      <c r="T8" s="637"/>
      <c r="U8" s="636">
        <f t="shared" ref="U8:U71" si="2">S8</f>
        <v>-9200</v>
      </c>
      <c r="V8" s="636" t="str">
        <f t="shared" ref="V8:V71" si="3">IF(R8=0,"",(U8-R8)/R8*100)</f>
        <v/>
      </c>
      <c r="W8" s="636"/>
      <c r="X8" s="633"/>
      <c r="Y8" s="645">
        <v>9835.7199999999993</v>
      </c>
      <c r="Z8" s="645">
        <v>0.55000000000000004</v>
      </c>
      <c r="AA8" s="645">
        <f t="shared" ref="AA8:AA31" si="4">Z8*1200</f>
        <v>660</v>
      </c>
      <c r="AB8" s="645">
        <f t="shared" ref="AB8:AB31" si="5">ROUND(AA8-Y8,-2)</f>
        <v>-9200</v>
      </c>
      <c r="AC8" s="645"/>
      <c r="AD8" s="645"/>
      <c r="AE8" s="645"/>
      <c r="AF8" s="645"/>
      <c r="AG8" s="645"/>
      <c r="AH8" s="645"/>
      <c r="AI8" s="645"/>
      <c r="AJ8" s="645"/>
      <c r="AK8" s="645"/>
      <c r="AL8" s="645"/>
      <c r="AM8" s="645"/>
      <c r="AN8" s="645"/>
      <c r="AO8" s="645"/>
      <c r="AP8" s="645"/>
      <c r="AQ8" s="645"/>
      <c r="AR8" s="645"/>
      <c r="AS8" s="645"/>
      <c r="AT8" s="645"/>
      <c r="AU8" s="645"/>
      <c r="AV8" s="645"/>
      <c r="AW8" s="645"/>
      <c r="AX8" s="645"/>
      <c r="AY8" s="645"/>
      <c r="AZ8" s="645"/>
      <c r="BA8" s="645"/>
      <c r="BB8" s="645"/>
      <c r="BC8" s="645"/>
      <c r="BD8" s="645"/>
      <c r="BE8" s="645"/>
      <c r="BF8" s="645"/>
      <c r="BG8" s="645"/>
      <c r="BH8" s="645"/>
      <c r="BI8" s="645"/>
      <c r="BJ8" s="645"/>
      <c r="BK8" s="645"/>
      <c r="BL8" s="645"/>
      <c r="BM8" s="645"/>
      <c r="BN8" s="645"/>
      <c r="BO8" s="645"/>
      <c r="BP8" s="645"/>
      <c r="BQ8" s="645"/>
      <c r="BR8" s="645"/>
      <c r="BS8" s="645"/>
      <c r="BT8" s="645"/>
      <c r="BU8" s="645"/>
      <c r="BV8" s="645"/>
      <c r="BW8" s="645"/>
      <c r="BX8" s="645"/>
      <c r="BY8" s="645"/>
      <c r="BZ8" s="645"/>
      <c r="CA8" s="645"/>
      <c r="CB8" s="645"/>
      <c r="CC8" s="645"/>
      <c r="CD8" s="645"/>
      <c r="CE8" s="645"/>
      <c r="CF8" s="645"/>
    </row>
    <row r="9" spans="1:84" s="663" customFormat="1" ht="15.75" customHeight="1">
      <c r="A9" s="635">
        <v>3</v>
      </c>
      <c r="B9" s="642">
        <v>1573277</v>
      </c>
      <c r="C9" s="633" t="s">
        <v>1110</v>
      </c>
      <c r="D9" s="634" t="s">
        <v>2143</v>
      </c>
      <c r="E9" s="633"/>
      <c r="F9" s="580">
        <v>40969</v>
      </c>
      <c r="G9" s="660">
        <v>3.5</v>
      </c>
      <c r="H9" s="660">
        <v>0.7</v>
      </c>
      <c r="I9" s="660">
        <v>1.4</v>
      </c>
      <c r="J9" s="661" t="s">
        <v>2087</v>
      </c>
      <c r="K9" s="662">
        <f>G9*H9*I9</f>
        <v>3.43</v>
      </c>
      <c r="L9" s="636">
        <v>10287.66</v>
      </c>
      <c r="M9" s="636">
        <v>0</v>
      </c>
      <c r="N9" s="636"/>
      <c r="O9" s="636"/>
      <c r="P9" s="636"/>
      <c r="Q9" s="636">
        <f t="shared" si="0"/>
        <v>10287.66</v>
      </c>
      <c r="R9" s="636">
        <f t="shared" si="0"/>
        <v>0</v>
      </c>
      <c r="S9" s="636">
        <f t="shared" si="1"/>
        <v>-2600</v>
      </c>
      <c r="T9" s="637"/>
      <c r="U9" s="636">
        <f t="shared" si="2"/>
        <v>-2600</v>
      </c>
      <c r="V9" s="636" t="str">
        <f t="shared" si="3"/>
        <v/>
      </c>
      <c r="W9" s="636"/>
      <c r="X9" s="633"/>
      <c r="Y9" s="645">
        <v>2566.0100000000002</v>
      </c>
      <c r="Z9" s="645"/>
      <c r="AA9" s="645">
        <f t="shared" si="4"/>
        <v>0</v>
      </c>
      <c r="AB9" s="645">
        <f t="shared" si="5"/>
        <v>-2600</v>
      </c>
      <c r="AC9" s="645"/>
      <c r="AD9" s="645"/>
      <c r="AE9" s="645"/>
      <c r="AF9" s="645"/>
      <c r="AG9" s="645"/>
      <c r="AH9" s="645"/>
      <c r="AI9" s="645"/>
      <c r="AJ9" s="645"/>
      <c r="AK9" s="645"/>
      <c r="AL9" s="645"/>
      <c r="AM9" s="645"/>
      <c r="AN9" s="645"/>
      <c r="AO9" s="645"/>
      <c r="AP9" s="645"/>
      <c r="AQ9" s="645"/>
      <c r="AR9" s="645"/>
      <c r="AS9" s="645"/>
      <c r="AT9" s="645"/>
      <c r="AU9" s="645"/>
      <c r="AV9" s="645"/>
      <c r="AW9" s="645"/>
      <c r="AX9" s="645"/>
      <c r="AY9" s="645"/>
      <c r="AZ9" s="645"/>
      <c r="BA9" s="645"/>
      <c r="BB9" s="645"/>
      <c r="BC9" s="645"/>
      <c r="BD9" s="645"/>
      <c r="BE9" s="645"/>
      <c r="BF9" s="645"/>
      <c r="BG9" s="645"/>
      <c r="BH9" s="645"/>
      <c r="BI9" s="645"/>
      <c r="BJ9" s="645"/>
      <c r="BK9" s="645"/>
      <c r="BL9" s="645"/>
      <c r="BM9" s="645"/>
      <c r="BN9" s="645"/>
      <c r="BO9" s="645"/>
      <c r="BP9" s="645"/>
      <c r="BQ9" s="645"/>
      <c r="BR9" s="645"/>
      <c r="BS9" s="645"/>
      <c r="BT9" s="645"/>
      <c r="BU9" s="645"/>
      <c r="BV9" s="645"/>
      <c r="BW9" s="645"/>
      <c r="BX9" s="645"/>
      <c r="BY9" s="645"/>
      <c r="BZ9" s="645"/>
      <c r="CA9" s="645"/>
      <c r="CB9" s="645"/>
      <c r="CC9" s="645"/>
      <c r="CD9" s="645"/>
      <c r="CE9" s="645"/>
      <c r="CF9" s="645"/>
    </row>
    <row r="10" spans="1:84" s="663" customFormat="1" ht="15.75" customHeight="1">
      <c r="A10" s="635">
        <v>4</v>
      </c>
      <c r="B10" s="642">
        <v>1573278</v>
      </c>
      <c r="C10" s="633" t="s">
        <v>1111</v>
      </c>
      <c r="D10" s="634" t="s">
        <v>2135</v>
      </c>
      <c r="E10" s="633"/>
      <c r="F10" s="580">
        <v>40970</v>
      </c>
      <c r="G10" s="660">
        <v>7.8</v>
      </c>
      <c r="H10" s="660">
        <v>4.3</v>
      </c>
      <c r="I10" s="660">
        <v>5.5</v>
      </c>
      <c r="J10" s="661" t="s">
        <v>2087</v>
      </c>
      <c r="K10" s="662">
        <f>G10*H10*I10</f>
        <v>184.47</v>
      </c>
      <c r="L10" s="636">
        <v>157288.13</v>
      </c>
      <c r="M10" s="636">
        <v>0</v>
      </c>
      <c r="N10" s="636"/>
      <c r="O10" s="636"/>
      <c r="P10" s="636"/>
      <c r="Q10" s="636">
        <f t="shared" si="0"/>
        <v>157288.13</v>
      </c>
      <c r="R10" s="636">
        <f t="shared" si="0"/>
        <v>0</v>
      </c>
      <c r="S10" s="636">
        <f t="shared" si="1"/>
        <v>-28800</v>
      </c>
      <c r="T10" s="637"/>
      <c r="U10" s="636">
        <f t="shared" si="2"/>
        <v>-28800</v>
      </c>
      <c r="V10" s="636" t="str">
        <f t="shared" si="3"/>
        <v/>
      </c>
      <c r="W10" s="636"/>
      <c r="X10" s="633"/>
      <c r="Y10" s="645">
        <v>30913.62</v>
      </c>
      <c r="Z10" s="645">
        <v>1.74</v>
      </c>
      <c r="AA10" s="645">
        <f t="shared" si="4"/>
        <v>2088</v>
      </c>
      <c r="AB10" s="645">
        <f t="shared" si="5"/>
        <v>-28800</v>
      </c>
      <c r="AC10" s="645"/>
      <c r="AD10" s="645"/>
      <c r="AE10" s="645"/>
      <c r="AF10" s="645"/>
      <c r="AG10" s="645"/>
      <c r="AH10" s="645"/>
      <c r="AI10" s="645"/>
      <c r="AJ10" s="645"/>
      <c r="AK10" s="645"/>
      <c r="AL10" s="645"/>
      <c r="AM10" s="645"/>
      <c r="AN10" s="645"/>
      <c r="AO10" s="645"/>
      <c r="AP10" s="645"/>
      <c r="AQ10" s="645"/>
      <c r="AR10" s="645"/>
      <c r="AS10" s="645"/>
      <c r="AT10" s="645"/>
      <c r="AU10" s="645"/>
      <c r="AV10" s="645"/>
      <c r="AW10" s="645"/>
      <c r="AX10" s="645"/>
      <c r="AY10" s="645"/>
      <c r="AZ10" s="645"/>
      <c r="BA10" s="645"/>
      <c r="BB10" s="645"/>
      <c r="BC10" s="645"/>
      <c r="BD10" s="645"/>
      <c r="BE10" s="645"/>
      <c r="BF10" s="645"/>
      <c r="BG10" s="645"/>
      <c r="BH10" s="645"/>
      <c r="BI10" s="645"/>
      <c r="BJ10" s="645"/>
      <c r="BK10" s="645"/>
      <c r="BL10" s="645"/>
      <c r="BM10" s="645"/>
      <c r="BN10" s="645"/>
      <c r="BO10" s="645"/>
      <c r="BP10" s="645"/>
      <c r="BQ10" s="645"/>
      <c r="BR10" s="645"/>
      <c r="BS10" s="645"/>
      <c r="BT10" s="645"/>
      <c r="BU10" s="645"/>
      <c r="BV10" s="645"/>
      <c r="BW10" s="645"/>
      <c r="BX10" s="645"/>
      <c r="BY10" s="645"/>
      <c r="BZ10" s="645"/>
      <c r="CA10" s="645"/>
      <c r="CB10" s="645"/>
      <c r="CC10" s="645"/>
      <c r="CD10" s="645"/>
      <c r="CE10" s="645"/>
      <c r="CF10" s="645"/>
    </row>
    <row r="11" spans="1:84" s="663" customFormat="1" ht="15.75" customHeight="1">
      <c r="A11" s="635">
        <v>5</v>
      </c>
      <c r="B11" s="642">
        <v>1573279</v>
      </c>
      <c r="C11" s="633" t="s">
        <v>1112</v>
      </c>
      <c r="D11" s="634" t="s">
        <v>2135</v>
      </c>
      <c r="E11" s="633"/>
      <c r="F11" s="580">
        <v>40971</v>
      </c>
      <c r="G11" s="660" t="s">
        <v>2160</v>
      </c>
      <c r="H11" s="660"/>
      <c r="I11" s="660">
        <v>0.8</v>
      </c>
      <c r="J11" s="661" t="s">
        <v>2087</v>
      </c>
      <c r="K11" s="662">
        <f>3.14*1.2*1.2*I11</f>
        <v>3.62</v>
      </c>
      <c r="L11" s="636">
        <v>9208.61</v>
      </c>
      <c r="M11" s="636">
        <v>0</v>
      </c>
      <c r="N11" s="636"/>
      <c r="O11" s="636"/>
      <c r="P11" s="636"/>
      <c r="Q11" s="636">
        <f t="shared" si="0"/>
        <v>9208.61</v>
      </c>
      <c r="R11" s="636">
        <f t="shared" si="0"/>
        <v>0</v>
      </c>
      <c r="S11" s="636">
        <f t="shared" si="1"/>
        <v>-3300</v>
      </c>
      <c r="T11" s="637"/>
      <c r="U11" s="636">
        <f t="shared" si="2"/>
        <v>-3300</v>
      </c>
      <c r="V11" s="636" t="str">
        <f t="shared" si="3"/>
        <v/>
      </c>
      <c r="W11" s="636"/>
      <c r="X11" s="633"/>
      <c r="Y11" s="645">
        <v>3535.66</v>
      </c>
      <c r="Z11" s="645">
        <v>0.2</v>
      </c>
      <c r="AA11" s="645">
        <f t="shared" si="4"/>
        <v>240</v>
      </c>
      <c r="AB11" s="645">
        <f t="shared" si="5"/>
        <v>-3300</v>
      </c>
      <c r="AC11" s="645"/>
      <c r="AD11" s="645"/>
      <c r="AE11" s="645"/>
      <c r="AF11" s="645"/>
      <c r="AG11" s="645"/>
      <c r="AH11" s="645"/>
      <c r="AI11" s="645"/>
      <c r="AJ11" s="645"/>
      <c r="AK11" s="645"/>
      <c r="AL11" s="645"/>
      <c r="AM11" s="645"/>
      <c r="AN11" s="645"/>
      <c r="AO11" s="645"/>
      <c r="AP11" s="645"/>
      <c r="AQ11" s="645"/>
      <c r="AR11" s="645"/>
      <c r="AS11" s="645"/>
      <c r="AT11" s="645"/>
      <c r="AU11" s="645"/>
      <c r="AV11" s="645"/>
      <c r="AW11" s="645"/>
      <c r="AX11" s="645"/>
      <c r="AY11" s="645"/>
      <c r="AZ11" s="645"/>
      <c r="BA11" s="645"/>
      <c r="BB11" s="645"/>
      <c r="BC11" s="645"/>
      <c r="BD11" s="645"/>
      <c r="BE11" s="645"/>
      <c r="BF11" s="645"/>
      <c r="BG11" s="645"/>
      <c r="BH11" s="645"/>
      <c r="BI11" s="645"/>
      <c r="BJ11" s="645"/>
      <c r="BK11" s="645"/>
      <c r="BL11" s="645"/>
      <c r="BM11" s="645"/>
      <c r="BN11" s="645"/>
      <c r="BO11" s="645"/>
      <c r="BP11" s="645"/>
      <c r="BQ11" s="645"/>
      <c r="BR11" s="645"/>
      <c r="BS11" s="645"/>
      <c r="BT11" s="645"/>
      <c r="BU11" s="645"/>
      <c r="BV11" s="645"/>
      <c r="BW11" s="645"/>
      <c r="BX11" s="645"/>
      <c r="BY11" s="645"/>
      <c r="BZ11" s="645"/>
      <c r="CA11" s="645"/>
      <c r="CB11" s="645"/>
      <c r="CC11" s="645"/>
      <c r="CD11" s="645"/>
      <c r="CE11" s="645"/>
      <c r="CF11" s="645"/>
    </row>
    <row r="12" spans="1:84" s="663" customFormat="1" ht="15.75" customHeight="1">
      <c r="A12" s="635">
        <v>6</v>
      </c>
      <c r="B12" s="642">
        <v>1573280</v>
      </c>
      <c r="C12" s="633" t="s">
        <v>1113</v>
      </c>
      <c r="D12" s="634" t="s">
        <v>2135</v>
      </c>
      <c r="E12" s="633"/>
      <c r="F12" s="580">
        <v>40972</v>
      </c>
      <c r="G12" s="660" t="s">
        <v>2161</v>
      </c>
      <c r="H12" s="660"/>
      <c r="I12" s="660">
        <v>3.5</v>
      </c>
      <c r="J12" s="661" t="s">
        <v>2087</v>
      </c>
      <c r="K12" s="662">
        <f>3.14*4.75*4.75*I12</f>
        <v>247.96</v>
      </c>
      <c r="L12" s="636">
        <v>262602.59999999998</v>
      </c>
      <c r="M12" s="636">
        <v>0</v>
      </c>
      <c r="N12" s="636"/>
      <c r="O12" s="636"/>
      <c r="P12" s="636"/>
      <c r="Q12" s="636">
        <f t="shared" si="0"/>
        <v>262602.59999999998</v>
      </c>
      <c r="R12" s="636">
        <f t="shared" si="0"/>
        <v>0</v>
      </c>
      <c r="S12" s="636">
        <f t="shared" si="1"/>
        <v>-27500</v>
      </c>
      <c r="T12" s="637"/>
      <c r="U12" s="636">
        <f t="shared" si="2"/>
        <v>-27500</v>
      </c>
      <c r="V12" s="636" t="str">
        <f t="shared" si="3"/>
        <v/>
      </c>
      <c r="W12" s="636"/>
      <c r="X12" s="633"/>
      <c r="Y12" s="645">
        <v>29497.35</v>
      </c>
      <c r="Z12" s="645">
        <v>1.66</v>
      </c>
      <c r="AA12" s="645">
        <f t="shared" si="4"/>
        <v>1992</v>
      </c>
      <c r="AB12" s="645">
        <f t="shared" si="5"/>
        <v>-27500</v>
      </c>
      <c r="AC12" s="645"/>
      <c r="AD12" s="645"/>
      <c r="AE12" s="645"/>
      <c r="AF12" s="645"/>
      <c r="AG12" s="645"/>
      <c r="AH12" s="645"/>
      <c r="AI12" s="645"/>
      <c r="AJ12" s="645"/>
      <c r="AK12" s="645"/>
      <c r="AL12" s="645"/>
      <c r="AM12" s="645"/>
      <c r="AN12" s="645"/>
      <c r="AO12" s="645"/>
      <c r="AP12" s="645"/>
      <c r="AQ12" s="645"/>
      <c r="AR12" s="645"/>
      <c r="AS12" s="645"/>
      <c r="AT12" s="645"/>
      <c r="AU12" s="645"/>
      <c r="AV12" s="645"/>
      <c r="AW12" s="645"/>
      <c r="AX12" s="645"/>
      <c r="AY12" s="645"/>
      <c r="AZ12" s="645"/>
      <c r="BA12" s="645"/>
      <c r="BB12" s="645"/>
      <c r="BC12" s="645"/>
      <c r="BD12" s="645"/>
      <c r="BE12" s="645"/>
      <c r="BF12" s="645"/>
      <c r="BG12" s="645"/>
      <c r="BH12" s="645"/>
      <c r="BI12" s="645"/>
      <c r="BJ12" s="645"/>
      <c r="BK12" s="645"/>
      <c r="BL12" s="645"/>
      <c r="BM12" s="645"/>
      <c r="BN12" s="645"/>
      <c r="BO12" s="645"/>
      <c r="BP12" s="645"/>
      <c r="BQ12" s="645"/>
      <c r="BR12" s="645"/>
      <c r="BS12" s="645"/>
      <c r="BT12" s="645"/>
      <c r="BU12" s="645"/>
      <c r="BV12" s="645"/>
      <c r="BW12" s="645"/>
      <c r="BX12" s="645"/>
      <c r="BY12" s="645"/>
      <c r="BZ12" s="645"/>
      <c r="CA12" s="645"/>
      <c r="CB12" s="645"/>
      <c r="CC12" s="645"/>
      <c r="CD12" s="645"/>
      <c r="CE12" s="645"/>
      <c r="CF12" s="645"/>
    </row>
    <row r="13" spans="1:84" s="663" customFormat="1" ht="15.75" customHeight="1">
      <c r="A13" s="635">
        <v>7</v>
      </c>
      <c r="B13" s="642">
        <v>1573281</v>
      </c>
      <c r="C13" s="633" t="s">
        <v>1114</v>
      </c>
      <c r="D13" s="634" t="s">
        <v>2135</v>
      </c>
      <c r="E13" s="633"/>
      <c r="F13" s="580">
        <v>40973</v>
      </c>
      <c r="G13" s="660">
        <v>4.8</v>
      </c>
      <c r="H13" s="660">
        <v>4</v>
      </c>
      <c r="I13" s="660">
        <v>3.2</v>
      </c>
      <c r="J13" s="639" t="s">
        <v>2087</v>
      </c>
      <c r="K13" s="640">
        <f>G13*H13*I13</f>
        <v>61.44</v>
      </c>
      <c r="L13" s="636">
        <v>41909.39</v>
      </c>
      <c r="M13" s="636">
        <v>0</v>
      </c>
      <c r="N13" s="636"/>
      <c r="O13" s="636"/>
      <c r="P13" s="636"/>
      <c r="Q13" s="636">
        <f t="shared" si="0"/>
        <v>41909.39</v>
      </c>
      <c r="R13" s="636">
        <f t="shared" si="0"/>
        <v>0</v>
      </c>
      <c r="S13" s="636">
        <f t="shared" si="1"/>
        <v>-12900</v>
      </c>
      <c r="T13" s="637"/>
      <c r="U13" s="636">
        <f t="shared" si="2"/>
        <v>-12900</v>
      </c>
      <c r="V13" s="636" t="str">
        <f t="shared" si="3"/>
        <v/>
      </c>
      <c r="W13" s="636"/>
      <c r="X13" s="633"/>
      <c r="Y13" s="645">
        <v>13811.01</v>
      </c>
      <c r="Z13" s="645">
        <v>0.78</v>
      </c>
      <c r="AA13" s="645">
        <f t="shared" si="4"/>
        <v>936</v>
      </c>
      <c r="AB13" s="645">
        <f t="shared" si="5"/>
        <v>-12900</v>
      </c>
      <c r="AC13" s="645"/>
      <c r="AD13" s="645"/>
      <c r="AE13" s="645"/>
      <c r="AF13" s="645"/>
      <c r="AG13" s="645"/>
      <c r="AH13" s="645"/>
      <c r="AI13" s="645"/>
      <c r="AJ13" s="645"/>
      <c r="AK13" s="645"/>
      <c r="AL13" s="645"/>
      <c r="AM13" s="645"/>
      <c r="AN13" s="645"/>
      <c r="AO13" s="645"/>
      <c r="AP13" s="645"/>
      <c r="AQ13" s="645"/>
      <c r="AR13" s="645"/>
      <c r="AS13" s="645"/>
      <c r="AT13" s="645"/>
      <c r="AU13" s="645"/>
      <c r="AV13" s="645"/>
      <c r="AW13" s="645"/>
      <c r="AX13" s="645"/>
      <c r="AY13" s="645"/>
      <c r="AZ13" s="645"/>
      <c r="BA13" s="645"/>
      <c r="BB13" s="645"/>
      <c r="BC13" s="645"/>
      <c r="BD13" s="645"/>
      <c r="BE13" s="645"/>
      <c r="BF13" s="645"/>
      <c r="BG13" s="645"/>
      <c r="BH13" s="645"/>
      <c r="BI13" s="645"/>
      <c r="BJ13" s="645"/>
      <c r="BK13" s="645"/>
      <c r="BL13" s="645"/>
      <c r="BM13" s="645"/>
      <c r="BN13" s="645"/>
      <c r="BO13" s="645"/>
      <c r="BP13" s="645"/>
      <c r="BQ13" s="645"/>
      <c r="BR13" s="645"/>
      <c r="BS13" s="645"/>
      <c r="BT13" s="645"/>
      <c r="BU13" s="645"/>
      <c r="BV13" s="645"/>
      <c r="BW13" s="645"/>
      <c r="BX13" s="645"/>
      <c r="BY13" s="645"/>
      <c r="BZ13" s="645"/>
      <c r="CA13" s="645"/>
      <c r="CB13" s="645"/>
      <c r="CC13" s="645"/>
      <c r="CD13" s="645"/>
      <c r="CE13" s="645"/>
      <c r="CF13" s="645"/>
    </row>
    <row r="14" spans="1:84" s="663" customFormat="1" ht="15.75" customHeight="1">
      <c r="A14" s="635">
        <v>8</v>
      </c>
      <c r="B14" s="642">
        <v>1573284</v>
      </c>
      <c r="C14" s="633" t="s">
        <v>1117</v>
      </c>
      <c r="D14" s="634" t="s">
        <v>2135</v>
      </c>
      <c r="E14" s="633"/>
      <c r="F14" s="580">
        <v>40974</v>
      </c>
      <c r="G14" s="660"/>
      <c r="H14" s="660"/>
      <c r="I14" s="660"/>
      <c r="J14" s="639" t="s">
        <v>1063</v>
      </c>
      <c r="K14" s="641">
        <v>156.78</v>
      </c>
      <c r="L14" s="636">
        <v>85264.88</v>
      </c>
      <c r="M14" s="636">
        <v>0</v>
      </c>
      <c r="N14" s="636"/>
      <c r="O14" s="636"/>
      <c r="P14" s="636"/>
      <c r="Q14" s="636">
        <f t="shared" si="0"/>
        <v>85264.88</v>
      </c>
      <c r="R14" s="636">
        <f t="shared" si="0"/>
        <v>0</v>
      </c>
      <c r="S14" s="636">
        <f t="shared" si="1"/>
        <v>-24500</v>
      </c>
      <c r="T14" s="637"/>
      <c r="U14" s="636">
        <f t="shared" si="2"/>
        <v>-24500</v>
      </c>
      <c r="V14" s="636" t="str">
        <f t="shared" si="3"/>
        <v/>
      </c>
      <c r="W14" s="636"/>
      <c r="X14" s="633"/>
      <c r="Y14" s="645">
        <v>26274.14</v>
      </c>
      <c r="Z14" s="645">
        <v>1.48</v>
      </c>
      <c r="AA14" s="645">
        <f t="shared" si="4"/>
        <v>1776</v>
      </c>
      <c r="AB14" s="645">
        <f t="shared" si="5"/>
        <v>-24500</v>
      </c>
      <c r="AC14" s="645"/>
      <c r="AD14" s="645"/>
      <c r="AE14" s="645"/>
      <c r="AF14" s="645"/>
      <c r="AG14" s="645"/>
      <c r="AH14" s="645"/>
      <c r="AI14" s="645"/>
      <c r="AJ14" s="645"/>
      <c r="AK14" s="645"/>
      <c r="AL14" s="645"/>
      <c r="AM14" s="645"/>
      <c r="AN14" s="645"/>
      <c r="AO14" s="645"/>
      <c r="AP14" s="645"/>
      <c r="AQ14" s="645"/>
      <c r="AR14" s="645"/>
      <c r="AS14" s="645"/>
      <c r="AT14" s="645"/>
      <c r="AU14" s="645"/>
      <c r="AV14" s="645"/>
      <c r="AW14" s="645"/>
      <c r="AX14" s="645"/>
      <c r="AY14" s="645"/>
      <c r="AZ14" s="645"/>
      <c r="BA14" s="645"/>
      <c r="BB14" s="645"/>
      <c r="BC14" s="645"/>
      <c r="BD14" s="645"/>
      <c r="BE14" s="645"/>
      <c r="BF14" s="645"/>
      <c r="BG14" s="645"/>
      <c r="BH14" s="645"/>
      <c r="BI14" s="645"/>
      <c r="BJ14" s="645"/>
      <c r="BK14" s="645"/>
      <c r="BL14" s="645"/>
      <c r="BM14" s="645"/>
      <c r="BN14" s="645"/>
      <c r="BO14" s="645"/>
      <c r="BP14" s="645"/>
      <c r="BQ14" s="645"/>
      <c r="BR14" s="645"/>
      <c r="BS14" s="645"/>
      <c r="BT14" s="645"/>
      <c r="BU14" s="645"/>
      <c r="BV14" s="645"/>
      <c r="BW14" s="645"/>
      <c r="BX14" s="645"/>
      <c r="BY14" s="645"/>
      <c r="BZ14" s="645"/>
      <c r="CA14" s="645"/>
      <c r="CB14" s="645"/>
      <c r="CC14" s="645"/>
      <c r="CD14" s="645"/>
      <c r="CE14" s="645"/>
      <c r="CF14" s="645"/>
    </row>
    <row r="15" spans="1:84" s="663" customFormat="1" ht="15.75" customHeight="1">
      <c r="A15" s="635">
        <v>9</v>
      </c>
      <c r="B15" s="642">
        <v>1574735</v>
      </c>
      <c r="C15" s="672" t="s">
        <v>1120</v>
      </c>
      <c r="D15" s="634" t="s">
        <v>2162</v>
      </c>
      <c r="E15" s="633"/>
      <c r="F15" s="580">
        <v>41091</v>
      </c>
      <c r="G15" s="660"/>
      <c r="H15" s="660"/>
      <c r="I15" s="660"/>
      <c r="J15" s="639" t="s">
        <v>1063</v>
      </c>
      <c r="K15" s="641">
        <v>120</v>
      </c>
      <c r="L15" s="636">
        <v>67726.33</v>
      </c>
      <c r="M15" s="636">
        <v>4273.5</v>
      </c>
      <c r="N15" s="636"/>
      <c r="O15" s="636"/>
      <c r="P15" s="636"/>
      <c r="Q15" s="636">
        <f t="shared" si="0"/>
        <v>67726.33</v>
      </c>
      <c r="R15" s="636">
        <f t="shared" si="0"/>
        <v>4273.5</v>
      </c>
      <c r="S15" s="636">
        <f t="shared" si="1"/>
        <v>-8900</v>
      </c>
      <c r="T15" s="637"/>
      <c r="U15" s="636">
        <f t="shared" si="2"/>
        <v>-8900</v>
      </c>
      <c r="V15" s="636">
        <f t="shared" si="3"/>
        <v>-308.26</v>
      </c>
      <c r="W15" s="636"/>
      <c r="X15" s="633"/>
      <c r="Y15" s="645">
        <v>13685.01</v>
      </c>
      <c r="Z15" s="645">
        <v>4.0199999999999996</v>
      </c>
      <c r="AA15" s="645">
        <f t="shared" si="4"/>
        <v>4824</v>
      </c>
      <c r="AB15" s="645">
        <f t="shared" si="5"/>
        <v>-8900</v>
      </c>
      <c r="AC15" s="645"/>
      <c r="AD15" s="645"/>
      <c r="AE15" s="645"/>
      <c r="AF15" s="645"/>
      <c r="AG15" s="645"/>
      <c r="AH15" s="645"/>
      <c r="AI15" s="645"/>
      <c r="AJ15" s="645"/>
      <c r="AK15" s="645"/>
      <c r="AL15" s="645"/>
      <c r="AM15" s="645"/>
      <c r="AN15" s="645"/>
      <c r="AO15" s="645"/>
      <c r="AP15" s="645"/>
      <c r="AQ15" s="645"/>
      <c r="AR15" s="645"/>
      <c r="AS15" s="645"/>
      <c r="AT15" s="645"/>
      <c r="AU15" s="645"/>
      <c r="AV15" s="645"/>
      <c r="AW15" s="645"/>
      <c r="AX15" s="645"/>
      <c r="AY15" s="645"/>
      <c r="AZ15" s="645"/>
      <c r="BA15" s="645"/>
      <c r="BB15" s="645"/>
      <c r="BC15" s="645"/>
      <c r="BD15" s="645"/>
      <c r="BE15" s="645"/>
      <c r="BF15" s="645"/>
      <c r="BG15" s="645"/>
      <c r="BH15" s="645"/>
      <c r="BI15" s="645"/>
      <c r="BJ15" s="645"/>
      <c r="BK15" s="645"/>
      <c r="BL15" s="645"/>
      <c r="BM15" s="645"/>
      <c r="BN15" s="645"/>
      <c r="BO15" s="645"/>
      <c r="BP15" s="645"/>
      <c r="BQ15" s="645"/>
      <c r="BR15" s="645"/>
      <c r="BS15" s="645"/>
      <c r="BT15" s="645"/>
      <c r="BU15" s="645"/>
      <c r="BV15" s="645"/>
      <c r="BW15" s="645"/>
      <c r="BX15" s="645"/>
      <c r="BY15" s="645"/>
      <c r="BZ15" s="645"/>
      <c r="CA15" s="645"/>
      <c r="CB15" s="645"/>
      <c r="CC15" s="645"/>
      <c r="CD15" s="645"/>
      <c r="CE15" s="645"/>
      <c r="CF15" s="645"/>
    </row>
    <row r="16" spans="1:84" s="663" customFormat="1" ht="15.75" customHeight="1">
      <c r="A16" s="635">
        <v>10</v>
      </c>
      <c r="B16" s="642">
        <v>1807676</v>
      </c>
      <c r="C16" s="633" t="s">
        <v>1122</v>
      </c>
      <c r="D16" s="634" t="s">
        <v>2101</v>
      </c>
      <c r="E16" s="633"/>
      <c r="F16" s="580">
        <v>41883</v>
      </c>
      <c r="G16" s="660"/>
      <c r="H16" s="660"/>
      <c r="I16" s="660"/>
      <c r="J16" s="639" t="s">
        <v>1063</v>
      </c>
      <c r="K16" s="641">
        <v>98</v>
      </c>
      <c r="L16" s="636">
        <v>87000</v>
      </c>
      <c r="M16" s="636">
        <v>3418.8</v>
      </c>
      <c r="N16" s="636"/>
      <c r="O16" s="636"/>
      <c r="P16" s="636"/>
      <c r="Q16" s="636">
        <f t="shared" si="0"/>
        <v>87000</v>
      </c>
      <c r="R16" s="636">
        <f t="shared" si="0"/>
        <v>3418.8</v>
      </c>
      <c r="S16" s="636">
        <f t="shared" si="1"/>
        <v>-8000</v>
      </c>
      <c r="T16" s="637"/>
      <c r="U16" s="636">
        <f t="shared" si="2"/>
        <v>-8000</v>
      </c>
      <c r="V16" s="636">
        <f t="shared" si="3"/>
        <v>-334</v>
      </c>
      <c r="W16" s="636"/>
      <c r="X16" s="633"/>
      <c r="Y16" s="645">
        <v>14326</v>
      </c>
      <c r="Z16" s="645">
        <v>5.3</v>
      </c>
      <c r="AA16" s="645">
        <f t="shared" si="4"/>
        <v>6360</v>
      </c>
      <c r="AB16" s="645">
        <f t="shared" si="5"/>
        <v>-8000</v>
      </c>
      <c r="AC16" s="645"/>
      <c r="AD16" s="645"/>
      <c r="AE16" s="645"/>
      <c r="AF16" s="645"/>
      <c r="AG16" s="645"/>
      <c r="AH16" s="645"/>
      <c r="AI16" s="645"/>
      <c r="AJ16" s="645"/>
      <c r="AK16" s="645"/>
      <c r="AL16" s="645"/>
      <c r="AM16" s="645"/>
      <c r="AN16" s="645"/>
      <c r="AO16" s="645"/>
      <c r="AP16" s="645"/>
      <c r="AQ16" s="645"/>
      <c r="AR16" s="645"/>
      <c r="AS16" s="645"/>
      <c r="AT16" s="645"/>
      <c r="AU16" s="645"/>
      <c r="AV16" s="645"/>
      <c r="AW16" s="645"/>
      <c r="AX16" s="645"/>
      <c r="AY16" s="645"/>
      <c r="AZ16" s="645"/>
      <c r="BA16" s="645"/>
      <c r="BB16" s="645"/>
      <c r="BC16" s="645"/>
      <c r="BD16" s="645"/>
      <c r="BE16" s="645"/>
      <c r="BF16" s="645"/>
      <c r="BG16" s="645"/>
      <c r="BH16" s="645"/>
      <c r="BI16" s="645"/>
      <c r="BJ16" s="645"/>
      <c r="BK16" s="645"/>
      <c r="BL16" s="645"/>
      <c r="BM16" s="645"/>
      <c r="BN16" s="645"/>
      <c r="BO16" s="645"/>
      <c r="BP16" s="645"/>
      <c r="BQ16" s="645"/>
      <c r="BR16" s="645"/>
      <c r="BS16" s="645"/>
      <c r="BT16" s="645"/>
      <c r="BU16" s="645"/>
      <c r="BV16" s="645"/>
      <c r="BW16" s="645"/>
      <c r="BX16" s="645"/>
      <c r="BY16" s="645"/>
      <c r="BZ16" s="645"/>
      <c r="CA16" s="645"/>
      <c r="CB16" s="645"/>
      <c r="CC16" s="645"/>
      <c r="CD16" s="645"/>
      <c r="CE16" s="645"/>
      <c r="CF16" s="645"/>
    </row>
    <row r="17" spans="1:84" s="663" customFormat="1" ht="15.75" customHeight="1">
      <c r="A17" s="635">
        <v>11</v>
      </c>
      <c r="B17" s="642">
        <v>1874718</v>
      </c>
      <c r="C17" s="634" t="s">
        <v>2163</v>
      </c>
      <c r="D17" s="634" t="s">
        <v>2101</v>
      </c>
      <c r="E17" s="633"/>
      <c r="F17" s="580">
        <v>41974</v>
      </c>
      <c r="G17" s="660"/>
      <c r="H17" s="660"/>
      <c r="I17" s="660"/>
      <c r="J17" s="639" t="s">
        <v>1063</v>
      </c>
      <c r="K17" s="640">
        <v>175.87</v>
      </c>
      <c r="L17" s="636">
        <v>117000</v>
      </c>
      <c r="M17" s="636">
        <v>10000</v>
      </c>
      <c r="N17" s="636"/>
      <c r="O17" s="636"/>
      <c r="P17" s="636"/>
      <c r="Q17" s="636">
        <f t="shared" si="0"/>
        <v>117000</v>
      </c>
      <c r="R17" s="636">
        <f t="shared" si="0"/>
        <v>10000</v>
      </c>
      <c r="S17" s="636">
        <f t="shared" si="1"/>
        <v>-13000</v>
      </c>
      <c r="T17" s="637"/>
      <c r="U17" s="636">
        <f t="shared" si="2"/>
        <v>-13000</v>
      </c>
      <c r="V17" s="636">
        <f t="shared" si="3"/>
        <v>-230</v>
      </c>
      <c r="W17" s="636"/>
      <c r="X17" s="633"/>
      <c r="Y17" s="645">
        <v>20056.52</v>
      </c>
      <c r="Z17" s="645">
        <v>5.86</v>
      </c>
      <c r="AA17" s="645">
        <f t="shared" si="4"/>
        <v>7032</v>
      </c>
      <c r="AB17" s="645">
        <f t="shared" si="5"/>
        <v>-13000</v>
      </c>
      <c r="AC17" s="645"/>
      <c r="AD17" s="645"/>
      <c r="AE17" s="645"/>
      <c r="AF17" s="645"/>
      <c r="AG17" s="645"/>
      <c r="AH17" s="645"/>
      <c r="AI17" s="645"/>
      <c r="AJ17" s="645"/>
      <c r="AK17" s="645"/>
      <c r="AL17" s="645"/>
      <c r="AM17" s="645"/>
      <c r="AN17" s="645"/>
      <c r="AO17" s="645"/>
      <c r="AP17" s="645"/>
      <c r="AQ17" s="645"/>
      <c r="AR17" s="645"/>
      <c r="AS17" s="645"/>
      <c r="AT17" s="645"/>
      <c r="AU17" s="645"/>
      <c r="AV17" s="645"/>
      <c r="AW17" s="645"/>
      <c r="AX17" s="645"/>
      <c r="AY17" s="645"/>
      <c r="AZ17" s="645"/>
      <c r="BA17" s="645"/>
      <c r="BB17" s="645"/>
      <c r="BC17" s="645"/>
      <c r="BD17" s="645"/>
      <c r="BE17" s="645"/>
      <c r="BF17" s="645"/>
      <c r="BG17" s="645"/>
      <c r="BH17" s="645"/>
      <c r="BI17" s="645"/>
      <c r="BJ17" s="645"/>
      <c r="BK17" s="645"/>
      <c r="BL17" s="645"/>
      <c r="BM17" s="645"/>
      <c r="BN17" s="645"/>
      <c r="BO17" s="645"/>
      <c r="BP17" s="645"/>
      <c r="BQ17" s="645"/>
      <c r="BR17" s="645"/>
      <c r="BS17" s="645"/>
      <c r="BT17" s="645"/>
      <c r="BU17" s="645"/>
      <c r="BV17" s="645"/>
      <c r="BW17" s="645"/>
      <c r="BX17" s="645"/>
      <c r="BY17" s="645"/>
      <c r="BZ17" s="645"/>
      <c r="CA17" s="645"/>
      <c r="CB17" s="645"/>
      <c r="CC17" s="645"/>
      <c r="CD17" s="645"/>
      <c r="CE17" s="645"/>
      <c r="CF17" s="645"/>
    </row>
    <row r="18" spans="1:84" s="663" customFormat="1" ht="15.75" customHeight="1">
      <c r="A18" s="635">
        <v>12</v>
      </c>
      <c r="B18" s="642">
        <v>2220806</v>
      </c>
      <c r="C18" s="633" t="s">
        <v>1126</v>
      </c>
      <c r="D18" s="634" t="s">
        <v>2102</v>
      </c>
      <c r="E18" s="633"/>
      <c r="F18" s="580">
        <v>42339</v>
      </c>
      <c r="G18" s="660"/>
      <c r="H18" s="660"/>
      <c r="I18" s="660"/>
      <c r="J18" s="639" t="s">
        <v>2159</v>
      </c>
      <c r="K18" s="640">
        <v>36</v>
      </c>
      <c r="L18" s="636">
        <v>29500</v>
      </c>
      <c r="M18" s="636">
        <v>0</v>
      </c>
      <c r="N18" s="636"/>
      <c r="O18" s="636"/>
      <c r="P18" s="636"/>
      <c r="Q18" s="636">
        <f t="shared" si="0"/>
        <v>29500</v>
      </c>
      <c r="R18" s="636">
        <f t="shared" si="0"/>
        <v>0</v>
      </c>
      <c r="S18" s="636">
        <f t="shared" si="1"/>
        <v>-5800</v>
      </c>
      <c r="T18" s="637"/>
      <c r="U18" s="636">
        <f t="shared" si="2"/>
        <v>-5800</v>
      </c>
      <c r="V18" s="636" t="str">
        <f t="shared" si="3"/>
        <v/>
      </c>
      <c r="W18" s="636"/>
      <c r="X18" s="633"/>
      <c r="Y18" s="645">
        <v>5782.17</v>
      </c>
      <c r="Z18" s="645"/>
      <c r="AA18" s="645">
        <f t="shared" si="4"/>
        <v>0</v>
      </c>
      <c r="AB18" s="645">
        <f t="shared" si="5"/>
        <v>-5800</v>
      </c>
      <c r="AC18" s="645"/>
      <c r="AD18" s="645"/>
      <c r="AE18" s="645"/>
      <c r="AF18" s="645"/>
      <c r="AG18" s="645"/>
      <c r="AH18" s="645"/>
      <c r="AI18" s="645"/>
      <c r="AJ18" s="645"/>
      <c r="AK18" s="645"/>
      <c r="AL18" s="645"/>
      <c r="AM18" s="645"/>
      <c r="AN18" s="645"/>
      <c r="AO18" s="645"/>
      <c r="AP18" s="645"/>
      <c r="AQ18" s="645"/>
      <c r="AR18" s="645"/>
      <c r="AS18" s="645"/>
      <c r="AT18" s="645"/>
      <c r="AU18" s="645"/>
      <c r="AV18" s="645"/>
      <c r="AW18" s="645"/>
      <c r="AX18" s="645"/>
      <c r="AY18" s="645"/>
      <c r="AZ18" s="645"/>
      <c r="BA18" s="645"/>
      <c r="BB18" s="645"/>
      <c r="BC18" s="645"/>
      <c r="BD18" s="645"/>
      <c r="BE18" s="645"/>
      <c r="BF18" s="645"/>
      <c r="BG18" s="645"/>
      <c r="BH18" s="645"/>
      <c r="BI18" s="645"/>
      <c r="BJ18" s="645"/>
      <c r="BK18" s="645"/>
      <c r="BL18" s="645"/>
      <c r="BM18" s="645"/>
      <c r="BN18" s="645"/>
      <c r="BO18" s="645"/>
      <c r="BP18" s="645"/>
      <c r="BQ18" s="645"/>
      <c r="BR18" s="645"/>
      <c r="BS18" s="645"/>
      <c r="BT18" s="645"/>
      <c r="BU18" s="645"/>
      <c r="BV18" s="645"/>
      <c r="BW18" s="645"/>
      <c r="BX18" s="645"/>
      <c r="BY18" s="645"/>
      <c r="BZ18" s="645"/>
      <c r="CA18" s="645"/>
      <c r="CB18" s="645"/>
      <c r="CC18" s="645"/>
      <c r="CD18" s="645"/>
      <c r="CE18" s="645"/>
      <c r="CF18" s="645"/>
    </row>
    <row r="19" spans="1:84" s="663" customFormat="1" ht="15.75" customHeight="1">
      <c r="A19" s="635">
        <v>13</v>
      </c>
      <c r="B19" s="642">
        <v>2636424</v>
      </c>
      <c r="C19" s="633" t="s">
        <v>1127</v>
      </c>
      <c r="D19" s="634" t="s">
        <v>2101</v>
      </c>
      <c r="E19" s="633"/>
      <c r="F19" s="580">
        <v>42705</v>
      </c>
      <c r="G19" s="660"/>
      <c r="H19" s="660"/>
      <c r="I19" s="660"/>
      <c r="J19" s="639"/>
      <c r="K19" s="640"/>
      <c r="L19" s="636">
        <v>63063.06</v>
      </c>
      <c r="M19" s="636">
        <v>61171.14</v>
      </c>
      <c r="N19" s="636"/>
      <c r="O19" s="636"/>
      <c r="P19" s="636"/>
      <c r="Q19" s="636">
        <f t="shared" si="0"/>
        <v>63063.06</v>
      </c>
      <c r="R19" s="636">
        <f t="shared" si="0"/>
        <v>61171.14</v>
      </c>
      <c r="S19" s="636">
        <f t="shared" si="1"/>
        <v>-8000</v>
      </c>
      <c r="T19" s="637"/>
      <c r="U19" s="636">
        <f t="shared" si="2"/>
        <v>-8000</v>
      </c>
      <c r="V19" s="636">
        <f t="shared" si="3"/>
        <v>-113.08</v>
      </c>
      <c r="W19" s="636"/>
      <c r="X19" s="633"/>
      <c r="Y19" s="645">
        <v>12632</v>
      </c>
      <c r="Z19" s="645">
        <v>3.9</v>
      </c>
      <c r="AA19" s="645">
        <f t="shared" si="4"/>
        <v>4680</v>
      </c>
      <c r="AB19" s="645">
        <f t="shared" si="5"/>
        <v>-8000</v>
      </c>
      <c r="AC19" s="645"/>
      <c r="AD19" s="645"/>
      <c r="AE19" s="645"/>
      <c r="AF19" s="645"/>
      <c r="AG19" s="645"/>
      <c r="AH19" s="645"/>
      <c r="AI19" s="645"/>
      <c r="AJ19" s="645"/>
      <c r="AK19" s="645"/>
      <c r="AL19" s="645"/>
      <c r="AM19" s="645"/>
      <c r="AN19" s="645"/>
      <c r="AO19" s="645"/>
      <c r="AP19" s="645"/>
      <c r="AQ19" s="645"/>
      <c r="AR19" s="645"/>
      <c r="AS19" s="645"/>
      <c r="AT19" s="645"/>
      <c r="AU19" s="645"/>
      <c r="AV19" s="645"/>
      <c r="AW19" s="645"/>
      <c r="AX19" s="645"/>
      <c r="AY19" s="645"/>
      <c r="AZ19" s="645"/>
      <c r="BA19" s="645"/>
      <c r="BB19" s="645"/>
      <c r="BC19" s="645"/>
      <c r="BD19" s="645"/>
      <c r="BE19" s="645"/>
      <c r="BF19" s="645"/>
      <c r="BG19" s="645"/>
      <c r="BH19" s="645"/>
      <c r="BI19" s="645"/>
      <c r="BJ19" s="645"/>
      <c r="BK19" s="645"/>
      <c r="BL19" s="645"/>
      <c r="BM19" s="645"/>
      <c r="BN19" s="645"/>
      <c r="BO19" s="645"/>
      <c r="BP19" s="645"/>
      <c r="BQ19" s="645"/>
      <c r="BR19" s="645"/>
      <c r="BS19" s="645"/>
      <c r="BT19" s="645"/>
      <c r="BU19" s="645"/>
      <c r="BV19" s="645"/>
      <c r="BW19" s="645"/>
      <c r="BX19" s="645"/>
      <c r="BY19" s="645"/>
      <c r="BZ19" s="645"/>
      <c r="CA19" s="645"/>
      <c r="CB19" s="645"/>
      <c r="CC19" s="645"/>
      <c r="CD19" s="645"/>
      <c r="CE19" s="645"/>
      <c r="CF19" s="645"/>
    </row>
    <row r="20" spans="1:84" s="663" customFormat="1" ht="15.75" customHeight="1">
      <c r="A20" s="635">
        <v>14</v>
      </c>
      <c r="B20" s="642" t="s">
        <v>2088</v>
      </c>
      <c r="C20" s="633" t="s">
        <v>1129</v>
      </c>
      <c r="D20" s="634" t="s">
        <v>2135</v>
      </c>
      <c r="E20" s="633"/>
      <c r="F20" s="580">
        <v>37653</v>
      </c>
      <c r="G20" s="660"/>
      <c r="H20" s="660"/>
      <c r="I20" s="660"/>
      <c r="J20" s="639" t="s">
        <v>1063</v>
      </c>
      <c r="K20" s="641">
        <v>17.02</v>
      </c>
      <c r="L20" s="636">
        <v>41736.519999999997</v>
      </c>
      <c r="M20" s="636">
        <v>0</v>
      </c>
      <c r="N20" s="636"/>
      <c r="O20" s="636"/>
      <c r="P20" s="636"/>
      <c r="Q20" s="636">
        <f t="shared" si="0"/>
        <v>41736.519999999997</v>
      </c>
      <c r="R20" s="636">
        <f t="shared" si="0"/>
        <v>0</v>
      </c>
      <c r="S20" s="636">
        <f t="shared" si="1"/>
        <v>-4600</v>
      </c>
      <c r="T20" s="637"/>
      <c r="U20" s="636">
        <f t="shared" si="2"/>
        <v>-4600</v>
      </c>
      <c r="V20" s="636" t="str">
        <f t="shared" si="3"/>
        <v/>
      </c>
      <c r="W20" s="636"/>
      <c r="X20" s="633"/>
      <c r="Y20" s="645">
        <v>4981.18</v>
      </c>
      <c r="Z20" s="645">
        <v>0.28000000000000003</v>
      </c>
      <c r="AA20" s="645">
        <f t="shared" si="4"/>
        <v>336</v>
      </c>
      <c r="AB20" s="645">
        <f t="shared" si="5"/>
        <v>-4600</v>
      </c>
      <c r="AC20" s="645"/>
      <c r="AD20" s="645"/>
      <c r="AE20" s="645"/>
      <c r="AF20" s="645"/>
      <c r="AG20" s="645"/>
      <c r="AH20" s="645"/>
      <c r="AI20" s="645"/>
      <c r="AJ20" s="645"/>
      <c r="AK20" s="645"/>
      <c r="AL20" s="645"/>
      <c r="AM20" s="645"/>
      <c r="AN20" s="645"/>
      <c r="AO20" s="645"/>
      <c r="AP20" s="645"/>
      <c r="AQ20" s="645"/>
      <c r="AR20" s="645"/>
      <c r="AS20" s="645"/>
      <c r="AT20" s="645"/>
      <c r="AU20" s="645"/>
      <c r="AV20" s="645"/>
      <c r="AW20" s="645"/>
      <c r="AX20" s="645"/>
      <c r="AY20" s="645"/>
      <c r="AZ20" s="645"/>
      <c r="BA20" s="645"/>
      <c r="BB20" s="645"/>
      <c r="BC20" s="645"/>
      <c r="BD20" s="645"/>
      <c r="BE20" s="645"/>
      <c r="BF20" s="645"/>
      <c r="BG20" s="645"/>
      <c r="BH20" s="645"/>
      <c r="BI20" s="645"/>
      <c r="BJ20" s="645"/>
      <c r="BK20" s="645"/>
      <c r="BL20" s="645"/>
      <c r="BM20" s="645"/>
      <c r="BN20" s="645"/>
      <c r="BO20" s="645"/>
      <c r="BP20" s="645"/>
      <c r="BQ20" s="645"/>
      <c r="BR20" s="645"/>
      <c r="BS20" s="645"/>
      <c r="BT20" s="645"/>
      <c r="BU20" s="645"/>
      <c r="BV20" s="645"/>
      <c r="BW20" s="645"/>
      <c r="BX20" s="645"/>
      <c r="BY20" s="645"/>
      <c r="BZ20" s="645"/>
      <c r="CA20" s="645"/>
      <c r="CB20" s="645"/>
      <c r="CC20" s="645"/>
      <c r="CD20" s="645"/>
      <c r="CE20" s="645"/>
      <c r="CF20" s="645"/>
    </row>
    <row r="21" spans="1:84" s="663" customFormat="1" ht="15.75" customHeight="1">
      <c r="A21" s="635">
        <v>15</v>
      </c>
      <c r="B21" s="642" t="s">
        <v>2089</v>
      </c>
      <c r="C21" s="633" t="s">
        <v>1117</v>
      </c>
      <c r="D21" s="634" t="s">
        <v>2135</v>
      </c>
      <c r="E21" s="633"/>
      <c r="F21" s="580">
        <v>37654</v>
      </c>
      <c r="G21" s="660"/>
      <c r="H21" s="660"/>
      <c r="I21" s="660"/>
      <c r="J21" s="639" t="s">
        <v>1063</v>
      </c>
      <c r="K21" s="641">
        <v>156.78</v>
      </c>
      <c r="L21" s="636">
        <v>388719.6</v>
      </c>
      <c r="M21" s="636">
        <v>0</v>
      </c>
      <c r="N21" s="636"/>
      <c r="O21" s="636"/>
      <c r="P21" s="636"/>
      <c r="Q21" s="636">
        <f t="shared" si="0"/>
        <v>388719.6</v>
      </c>
      <c r="R21" s="636">
        <f t="shared" si="0"/>
        <v>0</v>
      </c>
      <c r="S21" s="636">
        <f t="shared" si="1"/>
        <v>-24500</v>
      </c>
      <c r="T21" s="637"/>
      <c r="U21" s="636">
        <f t="shared" si="2"/>
        <v>-24500</v>
      </c>
      <c r="V21" s="636" t="str">
        <f t="shared" si="3"/>
        <v/>
      </c>
      <c r="W21" s="636"/>
      <c r="X21" s="633"/>
      <c r="Y21" s="645">
        <v>26274.14</v>
      </c>
      <c r="Z21" s="645">
        <v>1.48</v>
      </c>
      <c r="AA21" s="645">
        <f t="shared" si="4"/>
        <v>1776</v>
      </c>
      <c r="AB21" s="645">
        <f t="shared" si="5"/>
        <v>-24500</v>
      </c>
      <c r="AC21" s="645"/>
      <c r="AD21" s="645"/>
      <c r="AE21" s="645"/>
      <c r="AF21" s="645"/>
      <c r="AG21" s="645"/>
      <c r="AH21" s="645"/>
      <c r="AI21" s="645"/>
      <c r="AJ21" s="645"/>
      <c r="AK21" s="645"/>
      <c r="AL21" s="645"/>
      <c r="AM21" s="645"/>
      <c r="AN21" s="645"/>
      <c r="AO21" s="645"/>
      <c r="AP21" s="645"/>
      <c r="AQ21" s="645"/>
      <c r="AR21" s="645"/>
      <c r="AS21" s="645"/>
      <c r="AT21" s="645"/>
      <c r="AU21" s="645"/>
      <c r="AV21" s="645"/>
      <c r="AW21" s="645"/>
      <c r="AX21" s="645"/>
      <c r="AY21" s="645"/>
      <c r="AZ21" s="645"/>
      <c r="BA21" s="645"/>
      <c r="BB21" s="645"/>
      <c r="BC21" s="645"/>
      <c r="BD21" s="645"/>
      <c r="BE21" s="645"/>
      <c r="BF21" s="645"/>
      <c r="BG21" s="645"/>
      <c r="BH21" s="645"/>
      <c r="BI21" s="645"/>
      <c r="BJ21" s="645"/>
      <c r="BK21" s="645"/>
      <c r="BL21" s="645"/>
      <c r="BM21" s="645"/>
      <c r="BN21" s="645"/>
      <c r="BO21" s="645"/>
      <c r="BP21" s="645"/>
      <c r="BQ21" s="645"/>
      <c r="BR21" s="645"/>
      <c r="BS21" s="645"/>
      <c r="BT21" s="645"/>
      <c r="BU21" s="645"/>
      <c r="BV21" s="645"/>
      <c r="BW21" s="645"/>
      <c r="BX21" s="645"/>
      <c r="BY21" s="645"/>
      <c r="BZ21" s="645"/>
      <c r="CA21" s="645"/>
      <c r="CB21" s="645"/>
      <c r="CC21" s="645"/>
      <c r="CD21" s="645"/>
      <c r="CE21" s="645"/>
      <c r="CF21" s="645"/>
    </row>
    <row r="22" spans="1:84" s="663" customFormat="1" ht="15.75" customHeight="1">
      <c r="A22" s="635">
        <v>16</v>
      </c>
      <c r="B22" s="642" t="s">
        <v>2090</v>
      </c>
      <c r="C22" s="633" t="s">
        <v>1132</v>
      </c>
      <c r="D22" s="634" t="s">
        <v>2135</v>
      </c>
      <c r="E22" s="633"/>
      <c r="F22" s="580">
        <v>37655</v>
      </c>
      <c r="G22" s="660"/>
      <c r="H22" s="660"/>
      <c r="I22" s="660"/>
      <c r="J22" s="639" t="s">
        <v>1063</v>
      </c>
      <c r="K22" s="641">
        <v>81</v>
      </c>
      <c r="L22" s="636">
        <v>254419.14</v>
      </c>
      <c r="M22" s="636">
        <v>0</v>
      </c>
      <c r="N22" s="636"/>
      <c r="O22" s="636"/>
      <c r="P22" s="636"/>
      <c r="Q22" s="636">
        <f t="shared" si="0"/>
        <v>254419.14</v>
      </c>
      <c r="R22" s="636">
        <f t="shared" si="0"/>
        <v>0</v>
      </c>
      <c r="S22" s="636">
        <f t="shared" si="1"/>
        <v>-8700</v>
      </c>
      <c r="T22" s="637"/>
      <c r="U22" s="636">
        <f t="shared" si="2"/>
        <v>-8700</v>
      </c>
      <c r="V22" s="636" t="str">
        <f t="shared" si="3"/>
        <v/>
      </c>
      <c r="W22" s="636"/>
      <c r="X22" s="633"/>
      <c r="Y22" s="645">
        <v>9376.35</v>
      </c>
      <c r="Z22" s="645">
        <v>0.53</v>
      </c>
      <c r="AA22" s="645">
        <f t="shared" si="4"/>
        <v>636</v>
      </c>
      <c r="AB22" s="645">
        <f t="shared" si="5"/>
        <v>-8700</v>
      </c>
      <c r="AC22" s="645"/>
      <c r="AD22" s="645"/>
      <c r="AE22" s="645"/>
      <c r="AF22" s="645"/>
      <c r="AG22" s="645"/>
      <c r="AH22" s="645"/>
      <c r="AI22" s="645"/>
      <c r="AJ22" s="645"/>
      <c r="AK22" s="645"/>
      <c r="AL22" s="645"/>
      <c r="AM22" s="645"/>
      <c r="AN22" s="645"/>
      <c r="AO22" s="645"/>
      <c r="AP22" s="645"/>
      <c r="AQ22" s="645"/>
      <c r="AR22" s="645"/>
      <c r="AS22" s="645"/>
      <c r="AT22" s="645"/>
      <c r="AU22" s="645"/>
      <c r="AV22" s="645"/>
      <c r="AW22" s="645"/>
      <c r="AX22" s="645"/>
      <c r="AY22" s="645"/>
      <c r="AZ22" s="645"/>
      <c r="BA22" s="645"/>
      <c r="BB22" s="645"/>
      <c r="BC22" s="645"/>
      <c r="BD22" s="645"/>
      <c r="BE22" s="645"/>
      <c r="BF22" s="645"/>
      <c r="BG22" s="645"/>
      <c r="BH22" s="645"/>
      <c r="BI22" s="645"/>
      <c r="BJ22" s="645"/>
      <c r="BK22" s="645"/>
      <c r="BL22" s="645"/>
      <c r="BM22" s="645"/>
      <c r="BN22" s="645"/>
      <c r="BO22" s="645"/>
      <c r="BP22" s="645"/>
      <c r="BQ22" s="645"/>
      <c r="BR22" s="645"/>
      <c r="BS22" s="645"/>
      <c r="BT22" s="645"/>
      <c r="BU22" s="645"/>
      <c r="BV22" s="645"/>
      <c r="BW22" s="645"/>
      <c r="BX22" s="645"/>
      <c r="BY22" s="645"/>
      <c r="BZ22" s="645"/>
      <c r="CA22" s="645"/>
      <c r="CB22" s="645"/>
      <c r="CC22" s="645"/>
      <c r="CD22" s="645"/>
      <c r="CE22" s="645"/>
      <c r="CF22" s="645"/>
    </row>
    <row r="23" spans="1:84" s="663" customFormat="1" ht="15.75" customHeight="1">
      <c r="A23" s="635">
        <v>17</v>
      </c>
      <c r="B23" s="642" t="s">
        <v>2091</v>
      </c>
      <c r="C23" s="634" t="s">
        <v>2165</v>
      </c>
      <c r="D23" s="634" t="s">
        <v>2135</v>
      </c>
      <c r="E23" s="633"/>
      <c r="F23" s="580">
        <v>37656</v>
      </c>
      <c r="G23" s="660"/>
      <c r="H23" s="660"/>
      <c r="I23" s="660"/>
      <c r="J23" s="639" t="s">
        <v>1063</v>
      </c>
      <c r="K23" s="641">
        <v>102</v>
      </c>
      <c r="L23" s="636">
        <v>260853.27</v>
      </c>
      <c r="M23" s="636">
        <v>0</v>
      </c>
      <c r="N23" s="636"/>
      <c r="O23" s="636"/>
      <c r="P23" s="636"/>
      <c r="Q23" s="636">
        <f t="shared" si="0"/>
        <v>260853.27</v>
      </c>
      <c r="R23" s="636">
        <f t="shared" si="0"/>
        <v>0</v>
      </c>
      <c r="S23" s="636">
        <f t="shared" si="1"/>
        <v>-15900</v>
      </c>
      <c r="T23" s="637"/>
      <c r="U23" s="636">
        <f t="shared" si="2"/>
        <v>-15900</v>
      </c>
      <c r="V23" s="636" t="str">
        <f t="shared" si="3"/>
        <v/>
      </c>
      <c r="W23" s="636"/>
      <c r="X23" s="633"/>
      <c r="Y23" s="645">
        <v>17093.240000000002</v>
      </c>
      <c r="Z23" s="645">
        <v>0.96</v>
      </c>
      <c r="AA23" s="645">
        <f t="shared" si="4"/>
        <v>1152</v>
      </c>
      <c r="AB23" s="645">
        <f t="shared" si="5"/>
        <v>-15900</v>
      </c>
      <c r="AC23" s="645"/>
      <c r="AD23" s="645"/>
      <c r="AE23" s="645"/>
      <c r="AF23" s="645"/>
      <c r="AG23" s="645"/>
      <c r="AH23" s="645"/>
      <c r="AI23" s="645"/>
      <c r="AJ23" s="645"/>
      <c r="AK23" s="645"/>
      <c r="AL23" s="645"/>
      <c r="AM23" s="645"/>
      <c r="AN23" s="645"/>
      <c r="AO23" s="645"/>
      <c r="AP23" s="645"/>
      <c r="AQ23" s="645"/>
      <c r="AR23" s="645"/>
      <c r="AS23" s="645"/>
      <c r="AT23" s="645"/>
      <c r="AU23" s="645"/>
      <c r="AV23" s="645"/>
      <c r="AW23" s="645"/>
      <c r="AX23" s="645"/>
      <c r="AY23" s="645"/>
      <c r="AZ23" s="645"/>
      <c r="BA23" s="645"/>
      <c r="BB23" s="645"/>
      <c r="BC23" s="645"/>
      <c r="BD23" s="645"/>
      <c r="BE23" s="645"/>
      <c r="BF23" s="645"/>
      <c r="BG23" s="645"/>
      <c r="BH23" s="645"/>
      <c r="BI23" s="645"/>
      <c r="BJ23" s="645"/>
      <c r="BK23" s="645"/>
      <c r="BL23" s="645"/>
      <c r="BM23" s="645"/>
      <c r="BN23" s="645"/>
      <c r="BO23" s="645"/>
      <c r="BP23" s="645"/>
      <c r="BQ23" s="645"/>
      <c r="BR23" s="645"/>
      <c r="BS23" s="645"/>
      <c r="BT23" s="645"/>
      <c r="BU23" s="645"/>
      <c r="BV23" s="645"/>
      <c r="BW23" s="645"/>
      <c r="BX23" s="645"/>
      <c r="BY23" s="645"/>
      <c r="BZ23" s="645"/>
      <c r="CA23" s="645"/>
      <c r="CB23" s="645"/>
      <c r="CC23" s="645"/>
      <c r="CD23" s="645"/>
      <c r="CE23" s="645"/>
      <c r="CF23" s="645"/>
    </row>
    <row r="24" spans="1:84" s="663" customFormat="1" ht="15.75" customHeight="1">
      <c r="A24" s="635">
        <v>18</v>
      </c>
      <c r="B24" s="642" t="s">
        <v>2092</v>
      </c>
      <c r="C24" s="633" t="s">
        <v>1125</v>
      </c>
      <c r="D24" s="634" t="s">
        <v>2162</v>
      </c>
      <c r="E24" s="633"/>
      <c r="F24" s="580">
        <v>37657</v>
      </c>
      <c r="G24" s="660"/>
      <c r="H24" s="660"/>
      <c r="I24" s="660"/>
      <c r="J24" s="639" t="s">
        <v>1063</v>
      </c>
      <c r="K24" s="640">
        <v>175.87</v>
      </c>
      <c r="L24" s="636">
        <v>46965.3</v>
      </c>
      <c r="M24" s="636">
        <v>0</v>
      </c>
      <c r="N24" s="636"/>
      <c r="O24" s="636"/>
      <c r="P24" s="636"/>
      <c r="Q24" s="636">
        <f t="shared" si="0"/>
        <v>46965.3</v>
      </c>
      <c r="R24" s="636">
        <f t="shared" si="0"/>
        <v>0</v>
      </c>
      <c r="S24" s="636">
        <f t="shared" si="1"/>
        <v>-8900</v>
      </c>
      <c r="T24" s="637"/>
      <c r="U24" s="636">
        <f t="shared" si="2"/>
        <v>-8900</v>
      </c>
      <c r="V24" s="636" t="str">
        <f t="shared" si="3"/>
        <v/>
      </c>
      <c r="W24" s="636"/>
      <c r="X24" s="633"/>
      <c r="Y24" s="645">
        <v>13685.01</v>
      </c>
      <c r="Z24" s="645">
        <v>4.0199999999999996</v>
      </c>
      <c r="AA24" s="645">
        <f t="shared" si="4"/>
        <v>4824</v>
      </c>
      <c r="AB24" s="645">
        <f t="shared" si="5"/>
        <v>-8900</v>
      </c>
      <c r="AC24" s="645"/>
      <c r="AD24" s="645"/>
      <c r="AE24" s="645"/>
      <c r="AF24" s="645"/>
      <c r="AG24" s="645"/>
      <c r="AH24" s="645"/>
      <c r="AI24" s="645"/>
      <c r="AJ24" s="645"/>
      <c r="AK24" s="645"/>
      <c r="AL24" s="645"/>
      <c r="AM24" s="645"/>
      <c r="AN24" s="645"/>
      <c r="AO24" s="645"/>
      <c r="AP24" s="645"/>
      <c r="AQ24" s="645"/>
      <c r="AR24" s="645"/>
      <c r="AS24" s="645"/>
      <c r="AT24" s="645"/>
      <c r="AU24" s="645"/>
      <c r="AV24" s="645"/>
      <c r="AW24" s="645"/>
      <c r="AX24" s="645"/>
      <c r="AY24" s="645"/>
      <c r="AZ24" s="645"/>
      <c r="BA24" s="645"/>
      <c r="BB24" s="645"/>
      <c r="BC24" s="645"/>
      <c r="BD24" s="645"/>
      <c r="BE24" s="645"/>
      <c r="BF24" s="645"/>
      <c r="BG24" s="645"/>
      <c r="BH24" s="645"/>
      <c r="BI24" s="645"/>
      <c r="BJ24" s="645"/>
      <c r="BK24" s="645"/>
      <c r="BL24" s="645"/>
      <c r="BM24" s="645"/>
      <c r="BN24" s="645"/>
      <c r="BO24" s="645"/>
      <c r="BP24" s="645"/>
      <c r="BQ24" s="645"/>
      <c r="BR24" s="645"/>
      <c r="BS24" s="645"/>
      <c r="BT24" s="645"/>
      <c r="BU24" s="645"/>
      <c r="BV24" s="645"/>
      <c r="BW24" s="645"/>
      <c r="BX24" s="645"/>
      <c r="BY24" s="645"/>
      <c r="BZ24" s="645"/>
      <c r="CA24" s="645"/>
      <c r="CB24" s="645"/>
      <c r="CC24" s="645"/>
      <c r="CD24" s="645"/>
      <c r="CE24" s="645"/>
      <c r="CF24" s="645"/>
    </row>
    <row r="25" spans="1:84" s="663" customFormat="1" ht="15.75" customHeight="1">
      <c r="A25" s="635">
        <v>19</v>
      </c>
      <c r="B25" s="642" t="s">
        <v>2093</v>
      </c>
      <c r="C25" s="634" t="s">
        <v>2310</v>
      </c>
      <c r="D25" s="634" t="s">
        <v>2103</v>
      </c>
      <c r="E25" s="633"/>
      <c r="F25" s="580">
        <v>37658</v>
      </c>
      <c r="G25" s="660"/>
      <c r="H25" s="660"/>
      <c r="I25" s="660"/>
      <c r="J25" s="639" t="s">
        <v>1063</v>
      </c>
      <c r="K25" s="640">
        <v>24677.27</v>
      </c>
      <c r="L25" s="636">
        <v>1622194.29</v>
      </c>
      <c r="M25" s="636">
        <v>0</v>
      </c>
      <c r="N25" s="636"/>
      <c r="O25" s="636"/>
      <c r="P25" s="636"/>
      <c r="Q25" s="636">
        <f t="shared" si="0"/>
        <v>1622194.29</v>
      </c>
      <c r="R25" s="636">
        <f t="shared" si="0"/>
        <v>0</v>
      </c>
      <c r="S25" s="636">
        <f t="shared" si="1"/>
        <v>-13000</v>
      </c>
      <c r="T25" s="637"/>
      <c r="U25" s="636">
        <f t="shared" si="2"/>
        <v>-13000</v>
      </c>
      <c r="V25" s="636" t="str">
        <f t="shared" si="3"/>
        <v/>
      </c>
      <c r="W25" s="636"/>
      <c r="X25" s="633"/>
      <c r="Y25" s="645">
        <v>20056.52</v>
      </c>
      <c r="Z25" s="645">
        <v>5.86</v>
      </c>
      <c r="AA25" s="645">
        <f t="shared" si="4"/>
        <v>7032</v>
      </c>
      <c r="AB25" s="645">
        <f t="shared" si="5"/>
        <v>-13000</v>
      </c>
      <c r="AC25" s="645"/>
      <c r="AD25" s="645"/>
      <c r="AE25" s="645"/>
      <c r="AF25" s="645"/>
      <c r="AG25" s="645"/>
      <c r="AH25" s="645"/>
      <c r="AI25" s="645"/>
      <c r="AJ25" s="645"/>
      <c r="AK25" s="645"/>
      <c r="AL25" s="645"/>
      <c r="AM25" s="645"/>
      <c r="AN25" s="645"/>
      <c r="AO25" s="645"/>
      <c r="AP25" s="645"/>
      <c r="AQ25" s="645"/>
      <c r="AR25" s="645"/>
      <c r="AS25" s="645"/>
      <c r="AT25" s="645"/>
      <c r="AU25" s="645"/>
      <c r="AV25" s="645"/>
      <c r="AW25" s="645"/>
      <c r="AX25" s="645"/>
      <c r="AY25" s="645"/>
      <c r="AZ25" s="645"/>
      <c r="BA25" s="645"/>
      <c r="BB25" s="645"/>
      <c r="BC25" s="645"/>
      <c r="BD25" s="645"/>
      <c r="BE25" s="645"/>
      <c r="BF25" s="645"/>
      <c r="BG25" s="645"/>
      <c r="BH25" s="645"/>
      <c r="BI25" s="645"/>
      <c r="BJ25" s="645"/>
      <c r="BK25" s="645"/>
      <c r="BL25" s="645"/>
      <c r="BM25" s="645"/>
      <c r="BN25" s="645"/>
      <c r="BO25" s="645"/>
      <c r="BP25" s="645"/>
      <c r="BQ25" s="645"/>
      <c r="BR25" s="645"/>
      <c r="BS25" s="645"/>
      <c r="BT25" s="645"/>
      <c r="BU25" s="645"/>
      <c r="BV25" s="645"/>
      <c r="BW25" s="645"/>
      <c r="BX25" s="645"/>
      <c r="BY25" s="645"/>
      <c r="BZ25" s="645"/>
      <c r="CA25" s="645"/>
      <c r="CB25" s="645"/>
      <c r="CC25" s="645"/>
      <c r="CD25" s="645"/>
      <c r="CE25" s="645"/>
      <c r="CF25" s="645"/>
    </row>
    <row r="26" spans="1:84" s="663" customFormat="1" ht="15.75" customHeight="1">
      <c r="A26" s="635">
        <v>20</v>
      </c>
      <c r="B26" s="642" t="s">
        <v>2094</v>
      </c>
      <c r="C26" s="633" t="s">
        <v>1145</v>
      </c>
      <c r="D26" s="634" t="s">
        <v>2164</v>
      </c>
      <c r="E26" s="633"/>
      <c r="F26" s="580">
        <v>37659</v>
      </c>
      <c r="G26" s="660"/>
      <c r="H26" s="660"/>
      <c r="I26" s="660"/>
      <c r="J26" s="639" t="s">
        <v>2137</v>
      </c>
      <c r="K26" s="640">
        <v>4844.9799999999996</v>
      </c>
      <c r="L26" s="636">
        <v>707747.08</v>
      </c>
      <c r="M26" s="636">
        <v>0</v>
      </c>
      <c r="N26" s="636"/>
      <c r="O26" s="636"/>
      <c r="P26" s="636"/>
      <c r="Q26" s="636">
        <f t="shared" si="0"/>
        <v>707747.08</v>
      </c>
      <c r="R26" s="636">
        <f t="shared" si="0"/>
        <v>0</v>
      </c>
      <c r="S26" s="636">
        <f t="shared" si="1"/>
        <v>-247900</v>
      </c>
      <c r="T26" s="637"/>
      <c r="U26" s="636">
        <f t="shared" si="2"/>
        <v>-247900</v>
      </c>
      <c r="V26" s="636" t="str">
        <f t="shared" si="3"/>
        <v/>
      </c>
      <c r="W26" s="636"/>
      <c r="X26" s="633"/>
      <c r="Y26" s="645">
        <v>247860.3</v>
      </c>
      <c r="Z26" s="645"/>
      <c r="AA26" s="645">
        <f t="shared" si="4"/>
        <v>0</v>
      </c>
      <c r="AB26" s="645">
        <f t="shared" si="5"/>
        <v>-247900</v>
      </c>
      <c r="AC26" s="645"/>
      <c r="AD26" s="645"/>
      <c r="AE26" s="645"/>
      <c r="AF26" s="645"/>
      <c r="AG26" s="645"/>
      <c r="AH26" s="645"/>
      <c r="AI26" s="645"/>
      <c r="AJ26" s="645"/>
      <c r="AK26" s="645"/>
      <c r="AL26" s="645"/>
      <c r="AM26" s="645"/>
      <c r="AN26" s="645"/>
      <c r="AO26" s="645"/>
      <c r="AP26" s="645"/>
      <c r="AQ26" s="645"/>
      <c r="AR26" s="645"/>
      <c r="AS26" s="645"/>
      <c r="AT26" s="645"/>
      <c r="AU26" s="645"/>
      <c r="AV26" s="645"/>
      <c r="AW26" s="645"/>
      <c r="AX26" s="645"/>
      <c r="AY26" s="645"/>
      <c r="AZ26" s="645"/>
      <c r="BA26" s="645"/>
      <c r="BB26" s="645"/>
      <c r="BC26" s="645"/>
      <c r="BD26" s="645"/>
      <c r="BE26" s="645"/>
      <c r="BF26" s="645"/>
      <c r="BG26" s="645"/>
      <c r="BH26" s="645"/>
      <c r="BI26" s="645"/>
      <c r="BJ26" s="645"/>
      <c r="BK26" s="645"/>
      <c r="BL26" s="645"/>
      <c r="BM26" s="645"/>
      <c r="BN26" s="645"/>
      <c r="BO26" s="645"/>
      <c r="BP26" s="645"/>
      <c r="BQ26" s="645"/>
      <c r="BR26" s="645"/>
      <c r="BS26" s="645"/>
      <c r="BT26" s="645"/>
      <c r="BU26" s="645"/>
      <c r="BV26" s="645"/>
      <c r="BW26" s="645"/>
      <c r="BX26" s="645"/>
      <c r="BY26" s="645"/>
      <c r="BZ26" s="645"/>
      <c r="CA26" s="645"/>
      <c r="CB26" s="645"/>
      <c r="CC26" s="645"/>
      <c r="CD26" s="645"/>
      <c r="CE26" s="645"/>
      <c r="CF26" s="645"/>
    </row>
    <row r="27" spans="1:84" s="663" customFormat="1" ht="15.75" customHeight="1">
      <c r="A27" s="635">
        <v>21</v>
      </c>
      <c r="B27" s="642" t="s">
        <v>2095</v>
      </c>
      <c r="C27" s="633" t="s">
        <v>1146</v>
      </c>
      <c r="D27" s="634" t="s">
        <v>2164</v>
      </c>
      <c r="E27" s="633"/>
      <c r="F27" s="580">
        <v>37660</v>
      </c>
      <c r="G27" s="660"/>
      <c r="H27" s="660"/>
      <c r="I27" s="660"/>
      <c r="J27" s="639" t="s">
        <v>2159</v>
      </c>
      <c r="K27" s="640">
        <v>12</v>
      </c>
      <c r="L27" s="636">
        <v>230072.58</v>
      </c>
      <c r="M27" s="636">
        <v>0</v>
      </c>
      <c r="N27" s="636"/>
      <c r="O27" s="636"/>
      <c r="P27" s="636"/>
      <c r="Q27" s="636">
        <f t="shared" si="0"/>
        <v>230072.58</v>
      </c>
      <c r="R27" s="636">
        <f t="shared" si="0"/>
        <v>0</v>
      </c>
      <c r="S27" s="636">
        <f t="shared" si="1"/>
        <v>-3600</v>
      </c>
      <c r="T27" s="637"/>
      <c r="U27" s="636">
        <f t="shared" si="2"/>
        <v>-3600</v>
      </c>
      <c r="V27" s="636" t="str">
        <f t="shared" si="3"/>
        <v/>
      </c>
      <c r="W27" s="636"/>
      <c r="X27" s="633"/>
      <c r="Y27" s="645">
        <v>3597.13</v>
      </c>
      <c r="Z27" s="645"/>
      <c r="AA27" s="645">
        <f t="shared" si="4"/>
        <v>0</v>
      </c>
      <c r="AB27" s="645">
        <f t="shared" si="5"/>
        <v>-3600</v>
      </c>
      <c r="AC27" s="645"/>
      <c r="AD27" s="645"/>
      <c r="AE27" s="645"/>
      <c r="AF27" s="645"/>
      <c r="AG27" s="645"/>
      <c r="AH27" s="645"/>
      <c r="AI27" s="645"/>
      <c r="AJ27" s="645"/>
      <c r="AK27" s="645"/>
      <c r="AL27" s="645"/>
      <c r="AM27" s="645"/>
      <c r="AN27" s="645"/>
      <c r="AO27" s="645"/>
      <c r="AP27" s="645"/>
      <c r="AQ27" s="645"/>
      <c r="AR27" s="645"/>
      <c r="AS27" s="645"/>
      <c r="AT27" s="645"/>
      <c r="AU27" s="645"/>
      <c r="AV27" s="645"/>
      <c r="AW27" s="645"/>
      <c r="AX27" s="645"/>
      <c r="AY27" s="645"/>
      <c r="AZ27" s="645"/>
      <c r="BA27" s="645"/>
      <c r="BB27" s="645"/>
      <c r="BC27" s="645"/>
      <c r="BD27" s="645"/>
      <c r="BE27" s="645"/>
      <c r="BF27" s="645"/>
      <c r="BG27" s="645"/>
      <c r="BH27" s="645"/>
      <c r="BI27" s="645"/>
      <c r="BJ27" s="645"/>
      <c r="BK27" s="645"/>
      <c r="BL27" s="645"/>
      <c r="BM27" s="645"/>
      <c r="BN27" s="645"/>
      <c r="BO27" s="645"/>
      <c r="BP27" s="645"/>
      <c r="BQ27" s="645"/>
      <c r="BR27" s="645"/>
      <c r="BS27" s="645"/>
      <c r="BT27" s="645"/>
      <c r="BU27" s="645"/>
      <c r="BV27" s="645"/>
      <c r="BW27" s="645"/>
      <c r="BX27" s="645"/>
      <c r="BY27" s="645"/>
      <c r="BZ27" s="645"/>
      <c r="CA27" s="645"/>
      <c r="CB27" s="645"/>
      <c r="CC27" s="645"/>
      <c r="CD27" s="645"/>
      <c r="CE27" s="645"/>
      <c r="CF27" s="645"/>
    </row>
    <row r="28" spans="1:84" s="663" customFormat="1" ht="15.75" customHeight="1">
      <c r="A28" s="635">
        <v>22</v>
      </c>
      <c r="B28" s="642" t="s">
        <v>2096</v>
      </c>
      <c r="C28" s="633" t="s">
        <v>1147</v>
      </c>
      <c r="D28" s="634" t="s">
        <v>2164</v>
      </c>
      <c r="E28" s="633"/>
      <c r="F28" s="580">
        <v>37661</v>
      </c>
      <c r="G28" s="660"/>
      <c r="H28" s="660"/>
      <c r="I28" s="660"/>
      <c r="J28" s="639" t="s">
        <v>2166</v>
      </c>
      <c r="K28" s="640"/>
      <c r="L28" s="636">
        <v>277547.87</v>
      </c>
      <c r="M28" s="636">
        <v>0</v>
      </c>
      <c r="N28" s="636"/>
      <c r="O28" s="636"/>
      <c r="P28" s="636"/>
      <c r="Q28" s="636">
        <f t="shared" si="0"/>
        <v>277547.87</v>
      </c>
      <c r="R28" s="636">
        <f t="shared" si="0"/>
        <v>0</v>
      </c>
      <c r="S28" s="636">
        <f t="shared" si="1"/>
        <v>0</v>
      </c>
      <c r="T28" s="637"/>
      <c r="U28" s="636">
        <f t="shared" si="2"/>
        <v>0</v>
      </c>
      <c r="V28" s="636" t="str">
        <f t="shared" si="3"/>
        <v/>
      </c>
      <c r="W28" s="636"/>
      <c r="X28" s="698"/>
      <c r="Y28" s="645">
        <v>0</v>
      </c>
      <c r="Z28" s="645"/>
      <c r="AA28" s="645">
        <f t="shared" si="4"/>
        <v>0</v>
      </c>
      <c r="AB28" s="645">
        <f t="shared" si="5"/>
        <v>0</v>
      </c>
      <c r="AC28" s="645"/>
      <c r="AD28" s="645"/>
      <c r="AE28" s="645"/>
      <c r="AF28" s="645"/>
      <c r="AG28" s="645"/>
      <c r="AH28" s="645"/>
      <c r="AI28" s="645"/>
      <c r="AJ28" s="645"/>
      <c r="AK28" s="645"/>
      <c r="AL28" s="645"/>
      <c r="AM28" s="645"/>
      <c r="AN28" s="645"/>
      <c r="AO28" s="645"/>
      <c r="AP28" s="645"/>
      <c r="AQ28" s="645"/>
      <c r="AR28" s="645"/>
      <c r="AS28" s="645"/>
      <c r="AT28" s="645"/>
      <c r="AU28" s="645"/>
      <c r="AV28" s="645"/>
      <c r="AW28" s="645"/>
      <c r="AX28" s="645"/>
      <c r="AY28" s="645"/>
      <c r="AZ28" s="645"/>
      <c r="BA28" s="645"/>
      <c r="BB28" s="645"/>
      <c r="BC28" s="645"/>
      <c r="BD28" s="645"/>
      <c r="BE28" s="645"/>
      <c r="BF28" s="645"/>
      <c r="BG28" s="645"/>
      <c r="BH28" s="645"/>
      <c r="BI28" s="645"/>
      <c r="BJ28" s="645"/>
      <c r="BK28" s="645"/>
      <c r="BL28" s="645"/>
      <c r="BM28" s="645"/>
      <c r="BN28" s="645"/>
      <c r="BO28" s="645"/>
      <c r="BP28" s="645"/>
      <c r="BQ28" s="645"/>
      <c r="BR28" s="645"/>
      <c r="BS28" s="645"/>
      <c r="BT28" s="645"/>
      <c r="BU28" s="645"/>
      <c r="BV28" s="645"/>
      <c r="BW28" s="645"/>
      <c r="BX28" s="645"/>
      <c r="BY28" s="645"/>
      <c r="BZ28" s="645"/>
      <c r="CA28" s="645"/>
      <c r="CB28" s="645"/>
      <c r="CC28" s="645"/>
      <c r="CD28" s="645"/>
      <c r="CE28" s="645"/>
      <c r="CF28" s="645"/>
    </row>
    <row r="29" spans="1:84" s="663" customFormat="1" ht="15.75" customHeight="1">
      <c r="A29" s="635">
        <v>23</v>
      </c>
      <c r="B29" s="642" t="s">
        <v>2097</v>
      </c>
      <c r="C29" s="633" t="s">
        <v>1148</v>
      </c>
      <c r="D29" s="634" t="s">
        <v>2164</v>
      </c>
      <c r="E29" s="633"/>
      <c r="F29" s="580">
        <v>37662</v>
      </c>
      <c r="G29" s="660"/>
      <c r="H29" s="660"/>
      <c r="I29" s="660"/>
      <c r="J29" s="639" t="s">
        <v>2166</v>
      </c>
      <c r="K29" s="640">
        <v>880</v>
      </c>
      <c r="L29" s="636">
        <v>22642.06</v>
      </c>
      <c r="M29" s="636">
        <v>0</v>
      </c>
      <c r="N29" s="636"/>
      <c r="O29" s="636"/>
      <c r="P29" s="636"/>
      <c r="Q29" s="636">
        <f t="shared" si="0"/>
        <v>22642.06</v>
      </c>
      <c r="R29" s="636">
        <f t="shared" si="0"/>
        <v>0</v>
      </c>
      <c r="S29" s="636">
        <f t="shared" si="1"/>
        <v>0</v>
      </c>
      <c r="T29" s="637"/>
      <c r="U29" s="636">
        <f t="shared" si="2"/>
        <v>0</v>
      </c>
      <c r="V29" s="636" t="str">
        <f t="shared" si="3"/>
        <v/>
      </c>
      <c r="W29" s="636"/>
      <c r="X29" s="698"/>
      <c r="Y29" s="645">
        <v>0</v>
      </c>
      <c r="Z29" s="645"/>
      <c r="AA29" s="645">
        <f t="shared" si="4"/>
        <v>0</v>
      </c>
      <c r="AB29" s="645">
        <f t="shared" si="5"/>
        <v>0</v>
      </c>
      <c r="AC29" s="645"/>
      <c r="AD29" s="645"/>
      <c r="AE29" s="645"/>
      <c r="AF29" s="645"/>
      <c r="AG29" s="645"/>
      <c r="AH29" s="645"/>
      <c r="AI29" s="645"/>
      <c r="AJ29" s="645"/>
      <c r="AK29" s="645"/>
      <c r="AL29" s="645"/>
      <c r="AM29" s="645"/>
      <c r="AN29" s="645"/>
      <c r="AO29" s="645"/>
      <c r="AP29" s="645"/>
      <c r="AQ29" s="645"/>
      <c r="AR29" s="645"/>
      <c r="AS29" s="645"/>
      <c r="AT29" s="645"/>
      <c r="AU29" s="645"/>
      <c r="AV29" s="645"/>
      <c r="AW29" s="645"/>
      <c r="AX29" s="645"/>
      <c r="AY29" s="645"/>
      <c r="AZ29" s="645"/>
      <c r="BA29" s="645"/>
      <c r="BB29" s="645"/>
      <c r="BC29" s="645"/>
      <c r="BD29" s="645"/>
      <c r="BE29" s="645"/>
      <c r="BF29" s="645"/>
      <c r="BG29" s="645"/>
      <c r="BH29" s="645"/>
      <c r="BI29" s="645"/>
      <c r="BJ29" s="645"/>
      <c r="BK29" s="645"/>
      <c r="BL29" s="645"/>
      <c r="BM29" s="645"/>
      <c r="BN29" s="645"/>
      <c r="BO29" s="645"/>
      <c r="BP29" s="645"/>
      <c r="BQ29" s="645"/>
      <c r="BR29" s="645"/>
      <c r="BS29" s="645"/>
      <c r="BT29" s="645"/>
      <c r="BU29" s="645"/>
      <c r="BV29" s="645"/>
      <c r="BW29" s="645"/>
      <c r="BX29" s="645"/>
      <c r="BY29" s="645"/>
      <c r="BZ29" s="645"/>
      <c r="CA29" s="645"/>
      <c r="CB29" s="645"/>
      <c r="CC29" s="645"/>
      <c r="CD29" s="645"/>
      <c r="CE29" s="645"/>
      <c r="CF29" s="645"/>
    </row>
    <row r="30" spans="1:84" s="663" customFormat="1" ht="15.75" customHeight="1">
      <c r="A30" s="635">
        <v>24</v>
      </c>
      <c r="B30" s="642" t="s">
        <v>2098</v>
      </c>
      <c r="C30" s="633" t="s">
        <v>1149</v>
      </c>
      <c r="D30" s="634" t="s">
        <v>2164</v>
      </c>
      <c r="E30" s="633"/>
      <c r="F30" s="580">
        <v>37663</v>
      </c>
      <c r="G30" s="660"/>
      <c r="H30" s="660"/>
      <c r="I30" s="660"/>
      <c r="J30" s="639" t="s">
        <v>2166</v>
      </c>
      <c r="K30" s="640">
        <v>880</v>
      </c>
      <c r="L30" s="636">
        <v>17529.34</v>
      </c>
      <c r="M30" s="636">
        <v>0</v>
      </c>
      <c r="N30" s="636"/>
      <c r="O30" s="636"/>
      <c r="P30" s="636"/>
      <c r="Q30" s="636">
        <f t="shared" si="0"/>
        <v>17529.34</v>
      </c>
      <c r="R30" s="636">
        <f t="shared" si="0"/>
        <v>0</v>
      </c>
      <c r="S30" s="636">
        <f t="shared" si="1"/>
        <v>0</v>
      </c>
      <c r="T30" s="637"/>
      <c r="U30" s="636">
        <f t="shared" si="2"/>
        <v>0</v>
      </c>
      <c r="V30" s="636" t="str">
        <f t="shared" si="3"/>
        <v/>
      </c>
      <c r="W30" s="636"/>
      <c r="X30" s="698"/>
      <c r="Y30" s="645">
        <v>0</v>
      </c>
      <c r="Z30" s="645"/>
      <c r="AA30" s="645">
        <f t="shared" si="4"/>
        <v>0</v>
      </c>
      <c r="AB30" s="645">
        <f t="shared" si="5"/>
        <v>0</v>
      </c>
      <c r="AC30" s="645"/>
      <c r="AD30" s="645"/>
      <c r="AE30" s="645"/>
      <c r="AF30" s="645"/>
      <c r="AG30" s="645"/>
      <c r="AH30" s="645"/>
      <c r="AI30" s="645"/>
      <c r="AJ30" s="645"/>
      <c r="AK30" s="645"/>
      <c r="AL30" s="645"/>
      <c r="AM30" s="645"/>
      <c r="AN30" s="645"/>
      <c r="AO30" s="645"/>
      <c r="AP30" s="645"/>
      <c r="AQ30" s="645"/>
      <c r="AR30" s="645"/>
      <c r="AS30" s="645"/>
      <c r="AT30" s="645"/>
      <c r="AU30" s="645"/>
      <c r="AV30" s="645"/>
      <c r="AW30" s="645"/>
      <c r="AX30" s="645"/>
      <c r="AY30" s="645"/>
      <c r="AZ30" s="645"/>
      <c r="BA30" s="645"/>
      <c r="BB30" s="645"/>
      <c r="BC30" s="645"/>
      <c r="BD30" s="645"/>
      <c r="BE30" s="645"/>
      <c r="BF30" s="645"/>
      <c r="BG30" s="645"/>
      <c r="BH30" s="645"/>
      <c r="BI30" s="645"/>
      <c r="BJ30" s="645"/>
      <c r="BK30" s="645"/>
      <c r="BL30" s="645"/>
      <c r="BM30" s="645"/>
      <c r="BN30" s="645"/>
      <c r="BO30" s="645"/>
      <c r="BP30" s="645"/>
      <c r="BQ30" s="645"/>
      <c r="BR30" s="645"/>
      <c r="BS30" s="645"/>
      <c r="BT30" s="645"/>
      <c r="BU30" s="645"/>
      <c r="BV30" s="645"/>
      <c r="BW30" s="645"/>
      <c r="BX30" s="645"/>
      <c r="BY30" s="645"/>
      <c r="BZ30" s="645"/>
      <c r="CA30" s="645"/>
      <c r="CB30" s="645"/>
      <c r="CC30" s="645"/>
      <c r="CD30" s="645"/>
      <c r="CE30" s="645"/>
      <c r="CF30" s="645"/>
    </row>
    <row r="31" spans="1:84" s="663" customFormat="1" ht="15.75" customHeight="1">
      <c r="A31" s="635">
        <v>25</v>
      </c>
      <c r="B31" s="642" t="s">
        <v>2099</v>
      </c>
      <c r="C31" s="633" t="s">
        <v>1152</v>
      </c>
      <c r="D31" s="634" t="s">
        <v>2167</v>
      </c>
      <c r="E31" s="633"/>
      <c r="F31" s="580">
        <v>37664</v>
      </c>
      <c r="G31" s="660"/>
      <c r="H31" s="660"/>
      <c r="I31" s="660"/>
      <c r="J31" s="639" t="s">
        <v>2087</v>
      </c>
      <c r="K31" s="641">
        <v>86</v>
      </c>
      <c r="L31" s="636">
        <v>1157520.72</v>
      </c>
      <c r="M31" s="636">
        <v>0</v>
      </c>
      <c r="N31" s="636"/>
      <c r="O31" s="636"/>
      <c r="P31" s="636"/>
      <c r="Q31" s="636">
        <f t="shared" si="0"/>
        <v>1157520.72</v>
      </c>
      <c r="R31" s="636">
        <f t="shared" si="0"/>
        <v>0</v>
      </c>
      <c r="S31" s="636">
        <f t="shared" si="1"/>
        <v>-34400</v>
      </c>
      <c r="T31" s="637"/>
      <c r="U31" s="636">
        <f t="shared" si="2"/>
        <v>-34400</v>
      </c>
      <c r="V31" s="636" t="str">
        <f t="shared" si="3"/>
        <v/>
      </c>
      <c r="W31" s="636"/>
      <c r="X31" s="633"/>
      <c r="Y31" s="645">
        <v>34400</v>
      </c>
      <c r="Z31" s="645"/>
      <c r="AA31" s="645">
        <f t="shared" si="4"/>
        <v>0</v>
      </c>
      <c r="AB31" s="645">
        <f t="shared" si="5"/>
        <v>-34400</v>
      </c>
      <c r="AC31" s="645"/>
      <c r="AD31" s="645"/>
      <c r="AE31" s="645"/>
      <c r="AF31" s="645"/>
      <c r="AG31" s="645"/>
      <c r="AH31" s="645"/>
      <c r="AI31" s="645"/>
      <c r="AJ31" s="645"/>
      <c r="AK31" s="645"/>
      <c r="AL31" s="645"/>
      <c r="AM31" s="645"/>
      <c r="AN31" s="645"/>
      <c r="AO31" s="645"/>
      <c r="AP31" s="645"/>
      <c r="AQ31" s="645"/>
      <c r="AR31" s="645"/>
      <c r="AS31" s="645"/>
      <c r="AT31" s="645"/>
      <c r="AU31" s="645"/>
      <c r="AV31" s="645"/>
      <c r="AW31" s="645"/>
      <c r="AX31" s="645"/>
      <c r="AY31" s="645"/>
      <c r="AZ31" s="645"/>
      <c r="BA31" s="645"/>
      <c r="BB31" s="645"/>
      <c r="BC31" s="645"/>
      <c r="BD31" s="645"/>
      <c r="BE31" s="645"/>
      <c r="BF31" s="645"/>
      <c r="BG31" s="645"/>
      <c r="BH31" s="645"/>
      <c r="BI31" s="645"/>
      <c r="BJ31" s="645"/>
      <c r="BK31" s="645"/>
      <c r="BL31" s="645"/>
      <c r="BM31" s="645"/>
      <c r="BN31" s="645"/>
      <c r="BO31" s="645"/>
      <c r="BP31" s="645"/>
      <c r="BQ31" s="645"/>
      <c r="BR31" s="645"/>
      <c r="BS31" s="645"/>
      <c r="BT31" s="645"/>
      <c r="BU31" s="645"/>
      <c r="BV31" s="645"/>
      <c r="BW31" s="645"/>
      <c r="BX31" s="645"/>
      <c r="BY31" s="645"/>
      <c r="BZ31" s="645"/>
      <c r="CA31" s="645"/>
      <c r="CB31" s="645"/>
      <c r="CC31" s="645"/>
      <c r="CD31" s="645"/>
      <c r="CE31" s="645"/>
      <c r="CF31" s="645"/>
    </row>
    <row r="32" spans="1:84" s="663" customFormat="1" ht="15.75" customHeight="1">
      <c r="A32" s="635">
        <v>26</v>
      </c>
      <c r="B32" s="642" t="s">
        <v>2100</v>
      </c>
      <c r="C32" s="474" t="s">
        <v>1150</v>
      </c>
      <c r="D32" s="634" t="s">
        <v>2167</v>
      </c>
      <c r="E32" s="633"/>
      <c r="F32" s="580">
        <v>37666</v>
      </c>
      <c r="G32" s="661"/>
      <c r="H32" s="635"/>
      <c r="I32" s="635"/>
      <c r="J32" s="639" t="s">
        <v>2087</v>
      </c>
      <c r="K32" s="641">
        <v>0.1</v>
      </c>
      <c r="L32" s="582">
        <v>143991</v>
      </c>
      <c r="M32" s="582">
        <v>0</v>
      </c>
      <c r="N32" s="636"/>
      <c r="O32" s="636"/>
      <c r="P32" s="636"/>
      <c r="Q32" s="636">
        <f>L32+O32</f>
        <v>143991</v>
      </c>
      <c r="R32" s="636">
        <f>M32+P32</f>
        <v>0</v>
      </c>
      <c r="S32" s="636">
        <f t="shared" si="1"/>
        <v>0</v>
      </c>
      <c r="T32" s="637"/>
      <c r="U32" s="636">
        <f t="shared" si="2"/>
        <v>0</v>
      </c>
      <c r="V32" s="636" t="str">
        <f t="shared" si="3"/>
        <v/>
      </c>
      <c r="W32" s="636"/>
      <c r="X32" s="698"/>
      <c r="Y32" s="645">
        <v>0</v>
      </c>
      <c r="Z32" s="645"/>
      <c r="AA32" s="645">
        <f>Z32*1200</f>
        <v>0</v>
      </c>
      <c r="AB32" s="645">
        <f>ROUND(AA32-Y32,-2)</f>
        <v>0</v>
      </c>
      <c r="AC32" s="645"/>
      <c r="AD32" s="645"/>
      <c r="AE32" s="645"/>
      <c r="AF32" s="645"/>
      <c r="AG32" s="645"/>
      <c r="AH32" s="645"/>
      <c r="AI32" s="645"/>
      <c r="AJ32" s="645"/>
      <c r="AK32" s="645"/>
      <c r="AL32" s="645"/>
      <c r="AM32" s="645"/>
      <c r="AN32" s="645"/>
      <c r="AO32" s="645"/>
      <c r="AP32" s="645"/>
      <c r="AQ32" s="645"/>
      <c r="AR32" s="645"/>
      <c r="AS32" s="645"/>
      <c r="AT32" s="645"/>
      <c r="AU32" s="645"/>
      <c r="AV32" s="645"/>
      <c r="AW32" s="645"/>
      <c r="AX32" s="645"/>
      <c r="AY32" s="645"/>
      <c r="AZ32" s="645"/>
      <c r="BA32" s="645"/>
      <c r="BB32" s="645"/>
      <c r="BC32" s="645"/>
      <c r="BD32" s="645"/>
      <c r="BE32" s="645"/>
      <c r="BF32" s="645"/>
      <c r="BG32" s="645"/>
      <c r="BH32" s="645"/>
      <c r="BI32" s="645"/>
      <c r="BJ32" s="645"/>
      <c r="BK32" s="645"/>
      <c r="BL32" s="645"/>
      <c r="BM32" s="645"/>
      <c r="BN32" s="645"/>
      <c r="BO32" s="645"/>
      <c r="BP32" s="645"/>
      <c r="BQ32" s="645"/>
      <c r="BR32" s="645"/>
      <c r="BS32" s="645"/>
      <c r="BT32" s="645"/>
      <c r="BU32" s="645"/>
      <c r="BV32" s="645"/>
      <c r="BW32" s="645"/>
      <c r="BX32" s="645"/>
      <c r="BY32" s="645"/>
      <c r="BZ32" s="645"/>
      <c r="CA32" s="645"/>
      <c r="CB32" s="645"/>
      <c r="CC32" s="645"/>
      <c r="CD32" s="645"/>
      <c r="CE32" s="645"/>
      <c r="CF32" s="645"/>
    </row>
    <row r="33" spans="1:84" s="663" customFormat="1" ht="15.75" customHeight="1">
      <c r="A33" s="635">
        <v>27</v>
      </c>
      <c r="B33" s="642"/>
      <c r="C33" s="474" t="s">
        <v>2168</v>
      </c>
      <c r="D33" s="474" t="s">
        <v>2169</v>
      </c>
      <c r="E33" s="633"/>
      <c r="F33" s="580"/>
      <c r="G33" s="660"/>
      <c r="H33" s="660"/>
      <c r="I33" s="660"/>
      <c r="J33" s="664" t="s">
        <v>2170</v>
      </c>
      <c r="K33" s="648">
        <v>25</v>
      </c>
      <c r="L33" s="897">
        <v>129070.19</v>
      </c>
      <c r="M33" s="636">
        <v>0</v>
      </c>
      <c r="N33" s="636"/>
      <c r="O33" s="636"/>
      <c r="P33" s="636"/>
      <c r="Q33" s="897">
        <f t="shared" ref="Q33:R33" si="6">L33+O33</f>
        <v>129070.19</v>
      </c>
      <c r="R33" s="897">
        <f t="shared" si="6"/>
        <v>0</v>
      </c>
      <c r="S33" s="636">
        <f>K33*W33</f>
        <v>10500</v>
      </c>
      <c r="T33" s="637"/>
      <c r="U33" s="636">
        <f t="shared" si="2"/>
        <v>10500</v>
      </c>
      <c r="V33" s="636" t="str">
        <f t="shared" si="3"/>
        <v/>
      </c>
      <c r="W33" s="522">
        <v>420</v>
      </c>
      <c r="X33" s="633"/>
      <c r="Y33" s="645"/>
      <c r="Z33" s="645"/>
      <c r="AA33" s="645"/>
      <c r="AB33" s="645"/>
      <c r="AC33" s="645"/>
      <c r="AD33" s="645"/>
      <c r="AE33" s="645"/>
      <c r="AF33" s="645"/>
      <c r="AG33" s="645"/>
      <c r="AH33" s="645"/>
      <c r="AI33" s="645"/>
      <c r="AJ33" s="645"/>
      <c r="AK33" s="645"/>
      <c r="AL33" s="645"/>
      <c r="AM33" s="645"/>
      <c r="AN33" s="645"/>
      <c r="AO33" s="645"/>
      <c r="AP33" s="645"/>
      <c r="AQ33" s="645"/>
      <c r="AR33" s="645"/>
      <c r="AS33" s="645"/>
      <c r="AT33" s="645"/>
      <c r="AU33" s="645"/>
      <c r="AV33" s="645"/>
      <c r="AW33" s="645"/>
      <c r="AX33" s="645"/>
      <c r="AY33" s="645"/>
      <c r="AZ33" s="645"/>
      <c r="BA33" s="645"/>
      <c r="BB33" s="645"/>
      <c r="BC33" s="645"/>
      <c r="BD33" s="645"/>
      <c r="BE33" s="645"/>
      <c r="BF33" s="645"/>
      <c r="BG33" s="645"/>
      <c r="BH33" s="645"/>
      <c r="BI33" s="645"/>
      <c r="BJ33" s="645"/>
      <c r="BK33" s="645"/>
      <c r="BL33" s="645"/>
      <c r="BM33" s="645"/>
      <c r="BN33" s="645"/>
      <c r="BO33" s="645"/>
      <c r="BP33" s="645"/>
      <c r="BQ33" s="645"/>
      <c r="BR33" s="645"/>
      <c r="BS33" s="645"/>
      <c r="BT33" s="645"/>
      <c r="BU33" s="645"/>
      <c r="BV33" s="645"/>
      <c r="BW33" s="645"/>
      <c r="BX33" s="645"/>
      <c r="BY33" s="645"/>
      <c r="BZ33" s="645"/>
      <c r="CA33" s="645"/>
      <c r="CB33" s="645"/>
      <c r="CC33" s="645"/>
      <c r="CD33" s="645"/>
      <c r="CE33" s="645"/>
      <c r="CF33" s="645"/>
    </row>
    <row r="34" spans="1:84" s="663" customFormat="1" ht="15.75" customHeight="1">
      <c r="A34" s="635">
        <v>28</v>
      </c>
      <c r="B34" s="642"/>
      <c r="C34" s="474" t="s">
        <v>2171</v>
      </c>
      <c r="D34" s="474" t="s">
        <v>2172</v>
      </c>
      <c r="E34" s="633"/>
      <c r="F34" s="580"/>
      <c r="G34" s="660"/>
      <c r="H34" s="660"/>
      <c r="I34" s="660"/>
      <c r="J34" s="664" t="s">
        <v>2170</v>
      </c>
      <c r="K34" s="648">
        <v>250</v>
      </c>
      <c r="L34" s="898"/>
      <c r="M34" s="636"/>
      <c r="N34" s="636"/>
      <c r="O34" s="636"/>
      <c r="P34" s="636"/>
      <c r="Q34" s="898"/>
      <c r="R34" s="898"/>
      <c r="S34" s="636">
        <f t="shared" ref="S34:S97" si="7">K34*W34</f>
        <v>37500</v>
      </c>
      <c r="T34" s="637"/>
      <c r="U34" s="636">
        <f t="shared" si="2"/>
        <v>37500</v>
      </c>
      <c r="V34" s="636" t="str">
        <f t="shared" si="3"/>
        <v/>
      </c>
      <c r="W34" s="522">
        <v>150</v>
      </c>
      <c r="X34" s="633"/>
      <c r="Y34" s="645"/>
      <c r="Z34" s="645"/>
      <c r="AA34" s="645"/>
      <c r="AB34" s="645"/>
      <c r="AC34" s="645"/>
      <c r="AD34" s="645"/>
      <c r="AE34" s="645"/>
      <c r="AF34" s="645"/>
      <c r="AG34" s="645"/>
      <c r="AH34" s="645"/>
      <c r="AI34" s="645"/>
      <c r="AJ34" s="645"/>
      <c r="AK34" s="645"/>
      <c r="AL34" s="645"/>
      <c r="AM34" s="645"/>
      <c r="AN34" s="645"/>
      <c r="AO34" s="645"/>
      <c r="AP34" s="645"/>
      <c r="AQ34" s="645"/>
      <c r="AR34" s="645"/>
      <c r="AS34" s="645"/>
      <c r="AT34" s="645"/>
      <c r="AU34" s="645"/>
      <c r="AV34" s="645"/>
      <c r="AW34" s="645"/>
      <c r="AX34" s="645"/>
      <c r="AY34" s="645"/>
      <c r="AZ34" s="645"/>
      <c r="BA34" s="645"/>
      <c r="BB34" s="645"/>
      <c r="BC34" s="645"/>
      <c r="BD34" s="645"/>
      <c r="BE34" s="645"/>
      <c r="BF34" s="645"/>
      <c r="BG34" s="645"/>
      <c r="BH34" s="645"/>
      <c r="BI34" s="645"/>
      <c r="BJ34" s="645"/>
      <c r="BK34" s="645"/>
      <c r="BL34" s="645"/>
      <c r="BM34" s="645"/>
      <c r="BN34" s="645"/>
      <c r="BO34" s="645"/>
      <c r="BP34" s="645"/>
      <c r="BQ34" s="645"/>
      <c r="BR34" s="645"/>
      <c r="BS34" s="645"/>
      <c r="BT34" s="645"/>
      <c r="BU34" s="645"/>
      <c r="BV34" s="645"/>
      <c r="BW34" s="645"/>
      <c r="BX34" s="645"/>
      <c r="BY34" s="645"/>
      <c r="BZ34" s="645"/>
      <c r="CA34" s="645"/>
      <c r="CB34" s="645"/>
      <c r="CC34" s="645"/>
      <c r="CD34" s="645"/>
      <c r="CE34" s="645"/>
      <c r="CF34" s="645"/>
    </row>
    <row r="35" spans="1:84" s="663" customFormat="1" ht="15.75" customHeight="1">
      <c r="A35" s="635">
        <v>29</v>
      </c>
      <c r="B35" s="642"/>
      <c r="C35" s="474" t="s">
        <v>2173</v>
      </c>
      <c r="D35" s="474" t="s">
        <v>2174</v>
      </c>
      <c r="E35" s="633"/>
      <c r="F35" s="580"/>
      <c r="G35" s="660"/>
      <c r="H35" s="660"/>
      <c r="I35" s="660"/>
      <c r="J35" s="664" t="s">
        <v>2170</v>
      </c>
      <c r="K35" s="648">
        <v>1</v>
      </c>
      <c r="L35" s="898"/>
      <c r="M35" s="636"/>
      <c r="N35" s="636"/>
      <c r="O35" s="636"/>
      <c r="P35" s="636"/>
      <c r="Q35" s="898"/>
      <c r="R35" s="898"/>
      <c r="S35" s="636">
        <f t="shared" si="7"/>
        <v>800</v>
      </c>
      <c r="T35" s="637"/>
      <c r="U35" s="636">
        <f t="shared" si="2"/>
        <v>800</v>
      </c>
      <c r="V35" s="636" t="str">
        <f t="shared" si="3"/>
        <v/>
      </c>
      <c r="W35" s="522">
        <v>800</v>
      </c>
      <c r="X35" s="633"/>
      <c r="Y35" s="645"/>
      <c r="Z35" s="645"/>
      <c r="AA35" s="645"/>
      <c r="AB35" s="645"/>
      <c r="AC35" s="645"/>
      <c r="AD35" s="645"/>
      <c r="AE35" s="645"/>
      <c r="AF35" s="645"/>
      <c r="AG35" s="645"/>
      <c r="AH35" s="645"/>
      <c r="AI35" s="645"/>
      <c r="AJ35" s="645"/>
      <c r="AK35" s="645"/>
      <c r="AL35" s="645"/>
      <c r="AM35" s="645"/>
      <c r="AN35" s="645"/>
      <c r="AO35" s="645"/>
      <c r="AP35" s="645"/>
      <c r="AQ35" s="645"/>
      <c r="AR35" s="645"/>
      <c r="AS35" s="645"/>
      <c r="AT35" s="645"/>
      <c r="AU35" s="645"/>
      <c r="AV35" s="645"/>
      <c r="AW35" s="645"/>
      <c r="AX35" s="645"/>
      <c r="AY35" s="645"/>
      <c r="AZ35" s="645"/>
      <c r="BA35" s="645"/>
      <c r="BB35" s="645"/>
      <c r="BC35" s="645"/>
      <c r="BD35" s="645"/>
      <c r="BE35" s="645"/>
      <c r="BF35" s="645"/>
      <c r="BG35" s="645"/>
      <c r="BH35" s="645"/>
      <c r="BI35" s="645"/>
      <c r="BJ35" s="645"/>
      <c r="BK35" s="645"/>
      <c r="BL35" s="645"/>
      <c r="BM35" s="645"/>
      <c r="BN35" s="645"/>
      <c r="BO35" s="645"/>
      <c r="BP35" s="645"/>
      <c r="BQ35" s="645"/>
      <c r="BR35" s="645"/>
      <c r="BS35" s="645"/>
      <c r="BT35" s="645"/>
      <c r="BU35" s="645"/>
      <c r="BV35" s="645"/>
      <c r="BW35" s="645"/>
      <c r="BX35" s="645"/>
      <c r="BY35" s="645"/>
      <c r="BZ35" s="645"/>
      <c r="CA35" s="645"/>
      <c r="CB35" s="645"/>
      <c r="CC35" s="645"/>
      <c r="CD35" s="645"/>
      <c r="CE35" s="645"/>
      <c r="CF35" s="645"/>
    </row>
    <row r="36" spans="1:84" s="663" customFormat="1" ht="15.75" customHeight="1">
      <c r="A36" s="635">
        <v>30</v>
      </c>
      <c r="B36" s="642"/>
      <c r="C36" s="474" t="s">
        <v>2175</v>
      </c>
      <c r="D36" s="474" t="s">
        <v>2176</v>
      </c>
      <c r="E36" s="633"/>
      <c r="F36" s="580"/>
      <c r="G36" s="660"/>
      <c r="H36" s="660"/>
      <c r="I36" s="660"/>
      <c r="J36" s="664" t="s">
        <v>2170</v>
      </c>
      <c r="K36" s="648">
        <v>1</v>
      </c>
      <c r="L36" s="898"/>
      <c r="M36" s="636"/>
      <c r="N36" s="636"/>
      <c r="O36" s="636"/>
      <c r="P36" s="636"/>
      <c r="Q36" s="898"/>
      <c r="R36" s="898"/>
      <c r="S36" s="636">
        <f t="shared" si="7"/>
        <v>600</v>
      </c>
      <c r="T36" s="637"/>
      <c r="U36" s="636">
        <f t="shared" si="2"/>
        <v>600</v>
      </c>
      <c r="V36" s="636" t="str">
        <f t="shared" si="3"/>
        <v/>
      </c>
      <c r="W36" s="522">
        <v>600</v>
      </c>
      <c r="X36" s="633"/>
      <c r="Y36" s="645"/>
      <c r="Z36" s="645"/>
      <c r="AA36" s="645"/>
      <c r="AB36" s="645"/>
      <c r="AC36" s="645"/>
      <c r="AD36" s="645"/>
      <c r="AE36" s="645"/>
      <c r="AF36" s="645"/>
      <c r="AG36" s="645"/>
      <c r="AH36" s="645"/>
      <c r="AI36" s="645"/>
      <c r="AJ36" s="645"/>
      <c r="AK36" s="645"/>
      <c r="AL36" s="645"/>
      <c r="AM36" s="645"/>
      <c r="AN36" s="645"/>
      <c r="AO36" s="645"/>
      <c r="AP36" s="645"/>
      <c r="AQ36" s="645"/>
      <c r="AR36" s="645"/>
      <c r="AS36" s="645"/>
      <c r="AT36" s="645"/>
      <c r="AU36" s="645"/>
      <c r="AV36" s="645"/>
      <c r="AW36" s="645"/>
      <c r="AX36" s="645"/>
      <c r="AY36" s="645"/>
      <c r="AZ36" s="645"/>
      <c r="BA36" s="645"/>
      <c r="BB36" s="645"/>
      <c r="BC36" s="645"/>
      <c r="BD36" s="645"/>
      <c r="BE36" s="645"/>
      <c r="BF36" s="645"/>
      <c r="BG36" s="645"/>
      <c r="BH36" s="645"/>
      <c r="BI36" s="645"/>
      <c r="BJ36" s="645"/>
      <c r="BK36" s="645"/>
      <c r="BL36" s="645"/>
      <c r="BM36" s="645"/>
      <c r="BN36" s="645"/>
      <c r="BO36" s="645"/>
      <c r="BP36" s="645"/>
      <c r="BQ36" s="645"/>
      <c r="BR36" s="645"/>
      <c r="BS36" s="645"/>
      <c r="BT36" s="645"/>
      <c r="BU36" s="645"/>
      <c r="BV36" s="645"/>
      <c r="BW36" s="645"/>
      <c r="BX36" s="645"/>
      <c r="BY36" s="645"/>
      <c r="BZ36" s="645"/>
      <c r="CA36" s="645"/>
      <c r="CB36" s="645"/>
      <c r="CC36" s="645"/>
      <c r="CD36" s="645"/>
      <c r="CE36" s="645"/>
      <c r="CF36" s="645"/>
    </row>
    <row r="37" spans="1:84" s="663" customFormat="1" ht="15.75" customHeight="1">
      <c r="A37" s="635">
        <v>31</v>
      </c>
      <c r="B37" s="642"/>
      <c r="C37" s="474" t="s">
        <v>2177</v>
      </c>
      <c r="D37" s="474" t="s">
        <v>2178</v>
      </c>
      <c r="E37" s="633"/>
      <c r="F37" s="580"/>
      <c r="G37" s="660"/>
      <c r="H37" s="660"/>
      <c r="I37" s="660"/>
      <c r="J37" s="664" t="s">
        <v>2170</v>
      </c>
      <c r="K37" s="648">
        <v>1</v>
      </c>
      <c r="L37" s="898"/>
      <c r="M37" s="636"/>
      <c r="N37" s="636"/>
      <c r="O37" s="636"/>
      <c r="P37" s="636"/>
      <c r="Q37" s="898"/>
      <c r="R37" s="898"/>
      <c r="S37" s="636">
        <f t="shared" si="7"/>
        <v>3200</v>
      </c>
      <c r="T37" s="637"/>
      <c r="U37" s="636">
        <f t="shared" si="2"/>
        <v>3200</v>
      </c>
      <c r="V37" s="636" t="str">
        <f t="shared" si="3"/>
        <v/>
      </c>
      <c r="W37" s="522">
        <v>3200</v>
      </c>
      <c r="X37" s="633"/>
      <c r="Y37" s="645"/>
      <c r="Z37" s="645"/>
      <c r="AA37" s="645"/>
      <c r="AB37" s="645"/>
      <c r="AC37" s="645"/>
      <c r="AD37" s="645"/>
      <c r="AE37" s="645"/>
      <c r="AF37" s="645"/>
      <c r="AG37" s="645"/>
      <c r="AH37" s="645"/>
      <c r="AI37" s="645"/>
      <c r="AJ37" s="645"/>
      <c r="AK37" s="645"/>
      <c r="AL37" s="645"/>
      <c r="AM37" s="645"/>
      <c r="AN37" s="645"/>
      <c r="AO37" s="645"/>
      <c r="AP37" s="645"/>
      <c r="AQ37" s="645"/>
      <c r="AR37" s="645"/>
      <c r="AS37" s="645"/>
      <c r="AT37" s="645"/>
      <c r="AU37" s="645"/>
      <c r="AV37" s="645"/>
      <c r="AW37" s="645"/>
      <c r="AX37" s="645"/>
      <c r="AY37" s="645"/>
      <c r="AZ37" s="645"/>
      <c r="BA37" s="645"/>
      <c r="BB37" s="645"/>
      <c r="BC37" s="645"/>
      <c r="BD37" s="645"/>
      <c r="BE37" s="645"/>
      <c r="BF37" s="645"/>
      <c r="BG37" s="645"/>
      <c r="BH37" s="645"/>
      <c r="BI37" s="645"/>
      <c r="BJ37" s="645"/>
      <c r="BK37" s="645"/>
      <c r="BL37" s="645"/>
      <c r="BM37" s="645"/>
      <c r="BN37" s="645"/>
      <c r="BO37" s="645"/>
      <c r="BP37" s="645"/>
      <c r="BQ37" s="645"/>
      <c r="BR37" s="645"/>
      <c r="BS37" s="645"/>
      <c r="BT37" s="645"/>
      <c r="BU37" s="645"/>
      <c r="BV37" s="645"/>
      <c r="BW37" s="645"/>
      <c r="BX37" s="645"/>
      <c r="BY37" s="645"/>
      <c r="BZ37" s="645"/>
      <c r="CA37" s="645"/>
      <c r="CB37" s="645"/>
      <c r="CC37" s="645"/>
      <c r="CD37" s="645"/>
      <c r="CE37" s="645"/>
      <c r="CF37" s="645"/>
    </row>
    <row r="38" spans="1:84" s="663" customFormat="1" ht="15.75" customHeight="1">
      <c r="A38" s="635">
        <v>32</v>
      </c>
      <c r="B38" s="642"/>
      <c r="C38" s="474" t="s">
        <v>2179</v>
      </c>
      <c r="D38" s="474" t="s">
        <v>2180</v>
      </c>
      <c r="E38" s="633"/>
      <c r="F38" s="580"/>
      <c r="G38" s="660"/>
      <c r="H38" s="660"/>
      <c r="I38" s="660"/>
      <c r="J38" s="664" t="s">
        <v>2170</v>
      </c>
      <c r="K38" s="648">
        <v>1</v>
      </c>
      <c r="L38" s="898"/>
      <c r="M38" s="636"/>
      <c r="N38" s="636"/>
      <c r="O38" s="636"/>
      <c r="P38" s="636"/>
      <c r="Q38" s="898"/>
      <c r="R38" s="898"/>
      <c r="S38" s="636">
        <f t="shared" si="7"/>
        <v>2500</v>
      </c>
      <c r="T38" s="637"/>
      <c r="U38" s="636">
        <f t="shared" si="2"/>
        <v>2500</v>
      </c>
      <c r="V38" s="636" t="str">
        <f t="shared" si="3"/>
        <v/>
      </c>
      <c r="W38" s="522">
        <v>2500</v>
      </c>
      <c r="X38" s="633"/>
      <c r="Y38" s="645"/>
      <c r="Z38" s="645"/>
      <c r="AA38" s="645"/>
      <c r="AB38" s="645"/>
      <c r="AC38" s="645"/>
      <c r="AD38" s="645"/>
      <c r="AE38" s="645"/>
      <c r="AF38" s="645"/>
      <c r="AG38" s="645"/>
      <c r="AH38" s="645"/>
      <c r="AI38" s="645"/>
      <c r="AJ38" s="645"/>
      <c r="AK38" s="645"/>
      <c r="AL38" s="645"/>
      <c r="AM38" s="645"/>
      <c r="AN38" s="645"/>
      <c r="AO38" s="645"/>
      <c r="AP38" s="645"/>
      <c r="AQ38" s="645"/>
      <c r="AR38" s="645"/>
      <c r="AS38" s="645"/>
      <c r="AT38" s="645"/>
      <c r="AU38" s="645"/>
      <c r="AV38" s="645"/>
      <c r="AW38" s="645"/>
      <c r="AX38" s="645"/>
      <c r="AY38" s="645"/>
      <c r="AZ38" s="645"/>
      <c r="BA38" s="645"/>
      <c r="BB38" s="645"/>
      <c r="BC38" s="645"/>
      <c r="BD38" s="645"/>
      <c r="BE38" s="645"/>
      <c r="BF38" s="645"/>
      <c r="BG38" s="645"/>
      <c r="BH38" s="645"/>
      <c r="BI38" s="645"/>
      <c r="BJ38" s="645"/>
      <c r="BK38" s="645"/>
      <c r="BL38" s="645"/>
      <c r="BM38" s="645"/>
      <c r="BN38" s="645"/>
      <c r="BO38" s="645"/>
      <c r="BP38" s="645"/>
      <c r="BQ38" s="645"/>
      <c r="BR38" s="645"/>
      <c r="BS38" s="645"/>
      <c r="BT38" s="645"/>
      <c r="BU38" s="645"/>
      <c r="BV38" s="645"/>
      <c r="BW38" s="645"/>
      <c r="BX38" s="645"/>
      <c r="BY38" s="645"/>
      <c r="BZ38" s="645"/>
      <c r="CA38" s="645"/>
      <c r="CB38" s="645"/>
      <c r="CC38" s="645"/>
      <c r="CD38" s="645"/>
      <c r="CE38" s="645"/>
      <c r="CF38" s="645"/>
    </row>
    <row r="39" spans="1:84" s="663" customFormat="1" ht="15.75" customHeight="1">
      <c r="A39" s="635">
        <v>33</v>
      </c>
      <c r="B39" s="642"/>
      <c r="C39" s="474" t="s">
        <v>2181</v>
      </c>
      <c r="D39" s="474" t="s">
        <v>2178</v>
      </c>
      <c r="E39" s="633"/>
      <c r="F39" s="580"/>
      <c r="G39" s="660"/>
      <c r="H39" s="660"/>
      <c r="I39" s="660"/>
      <c r="J39" s="664" t="s">
        <v>2170</v>
      </c>
      <c r="K39" s="648">
        <v>1</v>
      </c>
      <c r="L39" s="898"/>
      <c r="M39" s="636"/>
      <c r="N39" s="636"/>
      <c r="O39" s="636"/>
      <c r="P39" s="636"/>
      <c r="Q39" s="898"/>
      <c r="R39" s="898"/>
      <c r="S39" s="636">
        <f t="shared" si="7"/>
        <v>3200</v>
      </c>
      <c r="T39" s="637"/>
      <c r="U39" s="636">
        <f t="shared" si="2"/>
        <v>3200</v>
      </c>
      <c r="V39" s="636" t="str">
        <f t="shared" si="3"/>
        <v/>
      </c>
      <c r="W39" s="522">
        <v>3200</v>
      </c>
      <c r="X39" s="633"/>
      <c r="Y39" s="645"/>
      <c r="Z39" s="645"/>
      <c r="AA39" s="645"/>
      <c r="AB39" s="645"/>
      <c r="AC39" s="645"/>
      <c r="AD39" s="645"/>
      <c r="AE39" s="645"/>
      <c r="AF39" s="645"/>
      <c r="AG39" s="645"/>
      <c r="AH39" s="645"/>
      <c r="AI39" s="645"/>
      <c r="AJ39" s="645"/>
      <c r="AK39" s="645"/>
      <c r="AL39" s="645"/>
      <c r="AM39" s="645"/>
      <c r="AN39" s="645"/>
      <c r="AO39" s="645"/>
      <c r="AP39" s="645"/>
      <c r="AQ39" s="645"/>
      <c r="AR39" s="645"/>
      <c r="AS39" s="645"/>
      <c r="AT39" s="645"/>
      <c r="AU39" s="645"/>
      <c r="AV39" s="645"/>
      <c r="AW39" s="645"/>
      <c r="AX39" s="645"/>
      <c r="AY39" s="645"/>
      <c r="AZ39" s="645"/>
      <c r="BA39" s="645"/>
      <c r="BB39" s="645"/>
      <c r="BC39" s="645"/>
      <c r="BD39" s="645"/>
      <c r="BE39" s="645"/>
      <c r="BF39" s="645"/>
      <c r="BG39" s="645"/>
      <c r="BH39" s="645"/>
      <c r="BI39" s="645"/>
      <c r="BJ39" s="645"/>
      <c r="BK39" s="645"/>
      <c r="BL39" s="645"/>
      <c r="BM39" s="645"/>
      <c r="BN39" s="645"/>
      <c r="BO39" s="645"/>
      <c r="BP39" s="645"/>
      <c r="BQ39" s="645"/>
      <c r="BR39" s="645"/>
      <c r="BS39" s="645"/>
      <c r="BT39" s="645"/>
      <c r="BU39" s="645"/>
      <c r="BV39" s="645"/>
      <c r="BW39" s="645"/>
      <c r="BX39" s="645"/>
      <c r="BY39" s="645"/>
      <c r="BZ39" s="645"/>
      <c r="CA39" s="645"/>
      <c r="CB39" s="645"/>
      <c r="CC39" s="645"/>
      <c r="CD39" s="645"/>
      <c r="CE39" s="645"/>
      <c r="CF39" s="645"/>
    </row>
    <row r="40" spans="1:84" s="663" customFormat="1" ht="15.75" customHeight="1">
      <c r="A40" s="635">
        <v>34</v>
      </c>
      <c r="B40" s="642"/>
      <c r="C40" s="474" t="s">
        <v>2182</v>
      </c>
      <c r="D40" s="474" t="s">
        <v>2178</v>
      </c>
      <c r="E40" s="633"/>
      <c r="F40" s="580"/>
      <c r="G40" s="660"/>
      <c r="H40" s="660"/>
      <c r="I40" s="660"/>
      <c r="J40" s="664" t="s">
        <v>2170</v>
      </c>
      <c r="K40" s="648">
        <v>1</v>
      </c>
      <c r="L40" s="898"/>
      <c r="M40" s="636"/>
      <c r="N40" s="636"/>
      <c r="O40" s="636"/>
      <c r="P40" s="636"/>
      <c r="Q40" s="898"/>
      <c r="R40" s="898"/>
      <c r="S40" s="636">
        <f t="shared" si="7"/>
        <v>3200</v>
      </c>
      <c r="T40" s="637"/>
      <c r="U40" s="636">
        <f t="shared" si="2"/>
        <v>3200</v>
      </c>
      <c r="V40" s="636" t="str">
        <f t="shared" si="3"/>
        <v/>
      </c>
      <c r="W40" s="522">
        <v>3200</v>
      </c>
      <c r="X40" s="633"/>
      <c r="Y40" s="645"/>
      <c r="Z40" s="645"/>
      <c r="AA40" s="645"/>
      <c r="AB40" s="645"/>
      <c r="AC40" s="645"/>
      <c r="AD40" s="645"/>
      <c r="AE40" s="645"/>
      <c r="AF40" s="645"/>
      <c r="AG40" s="645"/>
      <c r="AH40" s="645"/>
      <c r="AI40" s="645"/>
      <c r="AJ40" s="645"/>
      <c r="AK40" s="645"/>
      <c r="AL40" s="645"/>
      <c r="AM40" s="645"/>
      <c r="AN40" s="645"/>
      <c r="AO40" s="645"/>
      <c r="AP40" s="645"/>
      <c r="AQ40" s="645"/>
      <c r="AR40" s="645"/>
      <c r="AS40" s="645"/>
      <c r="AT40" s="645"/>
      <c r="AU40" s="645"/>
      <c r="AV40" s="645"/>
      <c r="AW40" s="645"/>
      <c r="AX40" s="645"/>
      <c r="AY40" s="645"/>
      <c r="AZ40" s="645"/>
      <c r="BA40" s="645"/>
      <c r="BB40" s="645"/>
      <c r="BC40" s="645"/>
      <c r="BD40" s="645"/>
      <c r="BE40" s="645"/>
      <c r="BF40" s="645"/>
      <c r="BG40" s="645"/>
      <c r="BH40" s="645"/>
      <c r="BI40" s="645"/>
      <c r="BJ40" s="645"/>
      <c r="BK40" s="645"/>
      <c r="BL40" s="645"/>
      <c r="BM40" s="645"/>
      <c r="BN40" s="645"/>
      <c r="BO40" s="645"/>
      <c r="BP40" s="645"/>
      <c r="BQ40" s="645"/>
      <c r="BR40" s="645"/>
      <c r="BS40" s="645"/>
      <c r="BT40" s="645"/>
      <c r="BU40" s="645"/>
      <c r="BV40" s="645"/>
      <c r="BW40" s="645"/>
      <c r="BX40" s="645"/>
      <c r="BY40" s="645"/>
      <c r="BZ40" s="645"/>
      <c r="CA40" s="645"/>
      <c r="CB40" s="645"/>
      <c r="CC40" s="645"/>
      <c r="CD40" s="645"/>
      <c r="CE40" s="645"/>
      <c r="CF40" s="645"/>
    </row>
    <row r="41" spans="1:84" s="663" customFormat="1" ht="15.75" customHeight="1">
      <c r="A41" s="635">
        <v>35</v>
      </c>
      <c r="B41" s="642"/>
      <c r="C41" s="474" t="s">
        <v>2183</v>
      </c>
      <c r="D41" s="474" t="s">
        <v>2184</v>
      </c>
      <c r="E41" s="633"/>
      <c r="F41" s="580"/>
      <c r="G41" s="660"/>
      <c r="H41" s="660"/>
      <c r="I41" s="660"/>
      <c r="J41" s="664" t="s">
        <v>2170</v>
      </c>
      <c r="K41" s="648">
        <v>1</v>
      </c>
      <c r="L41" s="898"/>
      <c r="M41" s="636"/>
      <c r="N41" s="636"/>
      <c r="O41" s="636"/>
      <c r="P41" s="636"/>
      <c r="Q41" s="898"/>
      <c r="R41" s="898"/>
      <c r="S41" s="636">
        <f t="shared" si="7"/>
        <v>4000</v>
      </c>
      <c r="T41" s="637"/>
      <c r="U41" s="636">
        <f t="shared" si="2"/>
        <v>4000</v>
      </c>
      <c r="V41" s="636" t="str">
        <f t="shared" si="3"/>
        <v/>
      </c>
      <c r="W41" s="522">
        <v>4000</v>
      </c>
      <c r="X41" s="633"/>
      <c r="Y41" s="645"/>
      <c r="Z41" s="645"/>
      <c r="AA41" s="645"/>
      <c r="AB41" s="645"/>
      <c r="AC41" s="645"/>
      <c r="AD41" s="645"/>
      <c r="AE41" s="645"/>
      <c r="AF41" s="645"/>
      <c r="AG41" s="645"/>
      <c r="AH41" s="645"/>
      <c r="AI41" s="645"/>
      <c r="AJ41" s="645"/>
      <c r="AK41" s="645"/>
      <c r="AL41" s="645"/>
      <c r="AM41" s="645"/>
      <c r="AN41" s="645"/>
      <c r="AO41" s="645"/>
      <c r="AP41" s="645"/>
      <c r="AQ41" s="645"/>
      <c r="AR41" s="645"/>
      <c r="AS41" s="645"/>
      <c r="AT41" s="645"/>
      <c r="AU41" s="645"/>
      <c r="AV41" s="645"/>
      <c r="AW41" s="645"/>
      <c r="AX41" s="645"/>
      <c r="AY41" s="645"/>
      <c r="AZ41" s="645"/>
      <c r="BA41" s="645"/>
      <c r="BB41" s="645"/>
      <c r="BC41" s="645"/>
      <c r="BD41" s="645"/>
      <c r="BE41" s="645"/>
      <c r="BF41" s="645"/>
      <c r="BG41" s="645"/>
      <c r="BH41" s="645"/>
      <c r="BI41" s="645"/>
      <c r="BJ41" s="645"/>
      <c r="BK41" s="645"/>
      <c r="BL41" s="645"/>
      <c r="BM41" s="645"/>
      <c r="BN41" s="645"/>
      <c r="BO41" s="645"/>
      <c r="BP41" s="645"/>
      <c r="BQ41" s="645"/>
      <c r="BR41" s="645"/>
      <c r="BS41" s="645"/>
      <c r="BT41" s="645"/>
      <c r="BU41" s="645"/>
      <c r="BV41" s="645"/>
      <c r="BW41" s="645"/>
      <c r="BX41" s="645"/>
      <c r="BY41" s="645"/>
      <c r="BZ41" s="645"/>
      <c r="CA41" s="645"/>
      <c r="CB41" s="645"/>
      <c r="CC41" s="645"/>
      <c r="CD41" s="645"/>
      <c r="CE41" s="645"/>
      <c r="CF41" s="645"/>
    </row>
    <row r="42" spans="1:84" s="663" customFormat="1" ht="15.75" customHeight="1">
      <c r="A42" s="635">
        <v>36</v>
      </c>
      <c r="B42" s="642"/>
      <c r="C42" s="474" t="s">
        <v>2185</v>
      </c>
      <c r="D42" s="474" t="s">
        <v>2178</v>
      </c>
      <c r="E42" s="633"/>
      <c r="F42" s="580"/>
      <c r="G42" s="660"/>
      <c r="H42" s="660"/>
      <c r="I42" s="660"/>
      <c r="J42" s="664" t="s">
        <v>2170</v>
      </c>
      <c r="K42" s="648">
        <v>1</v>
      </c>
      <c r="L42" s="898"/>
      <c r="M42" s="636"/>
      <c r="N42" s="636"/>
      <c r="O42" s="636"/>
      <c r="P42" s="636"/>
      <c r="Q42" s="898"/>
      <c r="R42" s="898"/>
      <c r="S42" s="636">
        <f t="shared" si="7"/>
        <v>3200</v>
      </c>
      <c r="T42" s="637"/>
      <c r="U42" s="636">
        <f t="shared" si="2"/>
        <v>3200</v>
      </c>
      <c r="V42" s="636" t="str">
        <f t="shared" si="3"/>
        <v/>
      </c>
      <c r="W42" s="522">
        <v>3200</v>
      </c>
      <c r="X42" s="633"/>
      <c r="Y42" s="645"/>
      <c r="Z42" s="645"/>
      <c r="AA42" s="645"/>
      <c r="AB42" s="645"/>
      <c r="AC42" s="645"/>
      <c r="AD42" s="645"/>
      <c r="AE42" s="645"/>
      <c r="AF42" s="645"/>
      <c r="AG42" s="645"/>
      <c r="AH42" s="645"/>
      <c r="AI42" s="645"/>
      <c r="AJ42" s="645"/>
      <c r="AK42" s="645"/>
      <c r="AL42" s="645"/>
      <c r="AM42" s="645"/>
      <c r="AN42" s="645"/>
      <c r="AO42" s="645"/>
      <c r="AP42" s="645"/>
      <c r="AQ42" s="645"/>
      <c r="AR42" s="645"/>
      <c r="AS42" s="645"/>
      <c r="AT42" s="645"/>
      <c r="AU42" s="645"/>
      <c r="AV42" s="645"/>
      <c r="AW42" s="645"/>
      <c r="AX42" s="645"/>
      <c r="AY42" s="645"/>
      <c r="AZ42" s="645"/>
      <c r="BA42" s="645"/>
      <c r="BB42" s="645"/>
      <c r="BC42" s="645"/>
      <c r="BD42" s="645"/>
      <c r="BE42" s="645"/>
      <c r="BF42" s="645"/>
      <c r="BG42" s="645"/>
      <c r="BH42" s="645"/>
      <c r="BI42" s="645"/>
      <c r="BJ42" s="645"/>
      <c r="BK42" s="645"/>
      <c r="BL42" s="645"/>
      <c r="BM42" s="645"/>
      <c r="BN42" s="645"/>
      <c r="BO42" s="645"/>
      <c r="BP42" s="645"/>
      <c r="BQ42" s="645"/>
      <c r="BR42" s="645"/>
      <c r="BS42" s="645"/>
      <c r="BT42" s="645"/>
      <c r="BU42" s="645"/>
      <c r="BV42" s="645"/>
      <c r="BW42" s="645"/>
      <c r="BX42" s="645"/>
      <c r="BY42" s="645"/>
      <c r="BZ42" s="645"/>
      <c r="CA42" s="645"/>
      <c r="CB42" s="645"/>
      <c r="CC42" s="645"/>
      <c r="CD42" s="645"/>
      <c r="CE42" s="645"/>
      <c r="CF42" s="645"/>
    </row>
    <row r="43" spans="1:84" s="663" customFormat="1" ht="15.75" customHeight="1">
      <c r="A43" s="635">
        <v>37</v>
      </c>
      <c r="B43" s="642"/>
      <c r="C43" s="474" t="s">
        <v>2186</v>
      </c>
      <c r="D43" s="474" t="s">
        <v>2178</v>
      </c>
      <c r="E43" s="633"/>
      <c r="F43" s="580"/>
      <c r="G43" s="660"/>
      <c r="H43" s="660"/>
      <c r="I43" s="660"/>
      <c r="J43" s="664" t="s">
        <v>2170</v>
      </c>
      <c r="K43" s="648">
        <v>1</v>
      </c>
      <c r="L43" s="898"/>
      <c r="M43" s="636"/>
      <c r="N43" s="636"/>
      <c r="O43" s="636"/>
      <c r="P43" s="636"/>
      <c r="Q43" s="898"/>
      <c r="R43" s="898"/>
      <c r="S43" s="636">
        <f t="shared" si="7"/>
        <v>6700</v>
      </c>
      <c r="T43" s="637"/>
      <c r="U43" s="636">
        <f t="shared" si="2"/>
        <v>6700</v>
      </c>
      <c r="V43" s="636" t="str">
        <f t="shared" si="3"/>
        <v/>
      </c>
      <c r="W43" s="522">
        <v>6700</v>
      </c>
      <c r="X43" s="633"/>
      <c r="Y43" s="645"/>
      <c r="Z43" s="645"/>
      <c r="AA43" s="645"/>
      <c r="AB43" s="645"/>
      <c r="AC43" s="645"/>
      <c r="AD43" s="645"/>
      <c r="AE43" s="645"/>
      <c r="AF43" s="645"/>
      <c r="AG43" s="645"/>
      <c r="AH43" s="645"/>
      <c r="AI43" s="645"/>
      <c r="AJ43" s="645"/>
      <c r="AK43" s="645"/>
      <c r="AL43" s="645"/>
      <c r="AM43" s="645"/>
      <c r="AN43" s="645"/>
      <c r="AO43" s="645"/>
      <c r="AP43" s="645"/>
      <c r="AQ43" s="645"/>
      <c r="AR43" s="645"/>
      <c r="AS43" s="645"/>
      <c r="AT43" s="645"/>
      <c r="AU43" s="645"/>
      <c r="AV43" s="645"/>
      <c r="AW43" s="645"/>
      <c r="AX43" s="645"/>
      <c r="AY43" s="645"/>
      <c r="AZ43" s="645"/>
      <c r="BA43" s="645"/>
      <c r="BB43" s="645"/>
      <c r="BC43" s="645"/>
      <c r="BD43" s="645"/>
      <c r="BE43" s="645"/>
      <c r="BF43" s="645"/>
      <c r="BG43" s="645"/>
      <c r="BH43" s="645"/>
      <c r="BI43" s="645"/>
      <c r="BJ43" s="645"/>
      <c r="BK43" s="645"/>
      <c r="BL43" s="645"/>
      <c r="BM43" s="645"/>
      <c r="BN43" s="645"/>
      <c r="BO43" s="645"/>
      <c r="BP43" s="645"/>
      <c r="BQ43" s="645"/>
      <c r="BR43" s="645"/>
      <c r="BS43" s="645"/>
      <c r="BT43" s="645"/>
      <c r="BU43" s="645"/>
      <c r="BV43" s="645"/>
      <c r="BW43" s="645"/>
      <c r="BX43" s="645"/>
      <c r="BY43" s="645"/>
      <c r="BZ43" s="645"/>
      <c r="CA43" s="645"/>
      <c r="CB43" s="645"/>
      <c r="CC43" s="645"/>
      <c r="CD43" s="645"/>
      <c r="CE43" s="645"/>
      <c r="CF43" s="645"/>
    </row>
    <row r="44" spans="1:84" s="663" customFormat="1" ht="15.75" customHeight="1">
      <c r="A44" s="635">
        <v>38</v>
      </c>
      <c r="B44" s="642"/>
      <c r="C44" s="474" t="s">
        <v>2187</v>
      </c>
      <c r="D44" s="474" t="s">
        <v>2184</v>
      </c>
      <c r="E44" s="633"/>
      <c r="F44" s="580"/>
      <c r="G44" s="660"/>
      <c r="H44" s="660"/>
      <c r="I44" s="660"/>
      <c r="J44" s="664" t="s">
        <v>2170</v>
      </c>
      <c r="K44" s="648">
        <v>1</v>
      </c>
      <c r="L44" s="898"/>
      <c r="M44" s="636"/>
      <c r="N44" s="636"/>
      <c r="O44" s="636"/>
      <c r="P44" s="636"/>
      <c r="Q44" s="898"/>
      <c r="R44" s="898"/>
      <c r="S44" s="636">
        <f t="shared" si="7"/>
        <v>7100</v>
      </c>
      <c r="T44" s="637"/>
      <c r="U44" s="636">
        <f t="shared" si="2"/>
        <v>7100</v>
      </c>
      <c r="V44" s="636" t="str">
        <f t="shared" si="3"/>
        <v/>
      </c>
      <c r="W44" s="522">
        <v>7100</v>
      </c>
      <c r="X44" s="633"/>
      <c r="Y44" s="645"/>
      <c r="Z44" s="645"/>
      <c r="AA44" s="645"/>
      <c r="AB44" s="645"/>
      <c r="AC44" s="645"/>
      <c r="AD44" s="645"/>
      <c r="AE44" s="645"/>
      <c r="AF44" s="645"/>
      <c r="AG44" s="645"/>
      <c r="AH44" s="645"/>
      <c r="AI44" s="645"/>
      <c r="AJ44" s="645"/>
      <c r="AK44" s="645"/>
      <c r="AL44" s="645"/>
      <c r="AM44" s="645"/>
      <c r="AN44" s="645"/>
      <c r="AO44" s="645"/>
      <c r="AP44" s="645"/>
      <c r="AQ44" s="645"/>
      <c r="AR44" s="645"/>
      <c r="AS44" s="645"/>
      <c r="AT44" s="645"/>
      <c r="AU44" s="645"/>
      <c r="AV44" s="645"/>
      <c r="AW44" s="645"/>
      <c r="AX44" s="645"/>
      <c r="AY44" s="645"/>
      <c r="AZ44" s="645"/>
      <c r="BA44" s="645"/>
      <c r="BB44" s="645"/>
      <c r="BC44" s="645"/>
      <c r="BD44" s="645"/>
      <c r="BE44" s="645"/>
      <c r="BF44" s="645"/>
      <c r="BG44" s="645"/>
      <c r="BH44" s="645"/>
      <c r="BI44" s="645"/>
      <c r="BJ44" s="645"/>
      <c r="BK44" s="645"/>
      <c r="BL44" s="645"/>
      <c r="BM44" s="645"/>
      <c r="BN44" s="645"/>
      <c r="BO44" s="645"/>
      <c r="BP44" s="645"/>
      <c r="BQ44" s="645"/>
      <c r="BR44" s="645"/>
      <c r="BS44" s="645"/>
      <c r="BT44" s="645"/>
      <c r="BU44" s="645"/>
      <c r="BV44" s="645"/>
      <c r="BW44" s="645"/>
      <c r="BX44" s="645"/>
      <c r="BY44" s="645"/>
      <c r="BZ44" s="645"/>
      <c r="CA44" s="645"/>
      <c r="CB44" s="645"/>
      <c r="CC44" s="645"/>
      <c r="CD44" s="645"/>
      <c r="CE44" s="645"/>
      <c r="CF44" s="645"/>
    </row>
    <row r="45" spans="1:84" s="663" customFormat="1" ht="15.75" customHeight="1">
      <c r="A45" s="635">
        <v>39</v>
      </c>
      <c r="B45" s="642"/>
      <c r="C45" s="474" t="s">
        <v>2188</v>
      </c>
      <c r="D45" s="474" t="s">
        <v>2180</v>
      </c>
      <c r="E45" s="633"/>
      <c r="F45" s="580"/>
      <c r="G45" s="660"/>
      <c r="H45" s="660"/>
      <c r="I45" s="660"/>
      <c r="J45" s="664" t="s">
        <v>2170</v>
      </c>
      <c r="K45" s="648">
        <v>1</v>
      </c>
      <c r="L45" s="898"/>
      <c r="M45" s="636"/>
      <c r="N45" s="636"/>
      <c r="O45" s="636"/>
      <c r="P45" s="636"/>
      <c r="Q45" s="898"/>
      <c r="R45" s="898"/>
      <c r="S45" s="636">
        <f t="shared" si="7"/>
        <v>4000</v>
      </c>
      <c r="T45" s="637"/>
      <c r="U45" s="636">
        <f t="shared" si="2"/>
        <v>4000</v>
      </c>
      <c r="V45" s="636" t="str">
        <f t="shared" si="3"/>
        <v/>
      </c>
      <c r="W45" s="522">
        <v>4000</v>
      </c>
      <c r="X45" s="633"/>
      <c r="Y45" s="645"/>
      <c r="Z45" s="645"/>
      <c r="AA45" s="645"/>
      <c r="AB45" s="645"/>
      <c r="AC45" s="645"/>
      <c r="AD45" s="645"/>
      <c r="AE45" s="645"/>
      <c r="AF45" s="645"/>
      <c r="AG45" s="645"/>
      <c r="AH45" s="645"/>
      <c r="AI45" s="645"/>
      <c r="AJ45" s="645"/>
      <c r="AK45" s="645"/>
      <c r="AL45" s="645"/>
      <c r="AM45" s="645"/>
      <c r="AN45" s="645"/>
      <c r="AO45" s="645"/>
      <c r="AP45" s="645"/>
      <c r="AQ45" s="645"/>
      <c r="AR45" s="645"/>
      <c r="AS45" s="645"/>
      <c r="AT45" s="645"/>
      <c r="AU45" s="645"/>
      <c r="AV45" s="645"/>
      <c r="AW45" s="645"/>
      <c r="AX45" s="645"/>
      <c r="AY45" s="645"/>
      <c r="AZ45" s="645"/>
      <c r="BA45" s="645"/>
      <c r="BB45" s="645"/>
      <c r="BC45" s="645"/>
      <c r="BD45" s="645"/>
      <c r="BE45" s="645"/>
      <c r="BF45" s="645"/>
      <c r="BG45" s="645"/>
      <c r="BH45" s="645"/>
      <c r="BI45" s="645"/>
      <c r="BJ45" s="645"/>
      <c r="BK45" s="645"/>
      <c r="BL45" s="645"/>
      <c r="BM45" s="645"/>
      <c r="BN45" s="645"/>
      <c r="BO45" s="645"/>
      <c r="BP45" s="645"/>
      <c r="BQ45" s="645"/>
      <c r="BR45" s="645"/>
      <c r="BS45" s="645"/>
      <c r="BT45" s="645"/>
      <c r="BU45" s="645"/>
      <c r="BV45" s="645"/>
      <c r="BW45" s="645"/>
      <c r="BX45" s="645"/>
      <c r="BY45" s="645"/>
      <c r="BZ45" s="645"/>
      <c r="CA45" s="645"/>
      <c r="CB45" s="645"/>
      <c r="CC45" s="645"/>
      <c r="CD45" s="645"/>
      <c r="CE45" s="645"/>
      <c r="CF45" s="645"/>
    </row>
    <row r="46" spans="1:84" s="663" customFormat="1" ht="15.75" customHeight="1">
      <c r="A46" s="635">
        <v>40</v>
      </c>
      <c r="B46" s="642"/>
      <c r="C46" s="474" t="s">
        <v>2189</v>
      </c>
      <c r="D46" s="474" t="s">
        <v>2176</v>
      </c>
      <c r="E46" s="633"/>
      <c r="F46" s="580"/>
      <c r="G46" s="660"/>
      <c r="H46" s="660"/>
      <c r="I46" s="660"/>
      <c r="J46" s="664" t="s">
        <v>2170</v>
      </c>
      <c r="K46" s="648">
        <v>1</v>
      </c>
      <c r="L46" s="898"/>
      <c r="M46" s="636"/>
      <c r="N46" s="636"/>
      <c r="O46" s="636"/>
      <c r="P46" s="636"/>
      <c r="Q46" s="898"/>
      <c r="R46" s="898"/>
      <c r="S46" s="636">
        <f t="shared" si="7"/>
        <v>2300</v>
      </c>
      <c r="T46" s="637"/>
      <c r="U46" s="636">
        <f t="shared" si="2"/>
        <v>2300</v>
      </c>
      <c r="V46" s="636" t="str">
        <f t="shared" si="3"/>
        <v/>
      </c>
      <c r="W46" s="522">
        <v>2300</v>
      </c>
      <c r="X46" s="633"/>
      <c r="Y46" s="645"/>
      <c r="Z46" s="645"/>
      <c r="AA46" s="645"/>
      <c r="AB46" s="645"/>
      <c r="AC46" s="645"/>
      <c r="AD46" s="645"/>
      <c r="AE46" s="645"/>
      <c r="AF46" s="645"/>
      <c r="AG46" s="645"/>
      <c r="AH46" s="645"/>
      <c r="AI46" s="645"/>
      <c r="AJ46" s="645"/>
      <c r="AK46" s="645"/>
      <c r="AL46" s="645"/>
      <c r="AM46" s="645"/>
      <c r="AN46" s="645"/>
      <c r="AO46" s="645"/>
      <c r="AP46" s="645"/>
      <c r="AQ46" s="645"/>
      <c r="AR46" s="645"/>
      <c r="AS46" s="645"/>
      <c r="AT46" s="645"/>
      <c r="AU46" s="645"/>
      <c r="AV46" s="645"/>
      <c r="AW46" s="645"/>
      <c r="AX46" s="645"/>
      <c r="AY46" s="645"/>
      <c r="AZ46" s="645"/>
      <c r="BA46" s="645"/>
      <c r="BB46" s="645"/>
      <c r="BC46" s="645"/>
      <c r="BD46" s="645"/>
      <c r="BE46" s="645"/>
      <c r="BF46" s="645"/>
      <c r="BG46" s="645"/>
      <c r="BH46" s="645"/>
      <c r="BI46" s="645"/>
      <c r="BJ46" s="645"/>
      <c r="BK46" s="645"/>
      <c r="BL46" s="645"/>
      <c r="BM46" s="645"/>
      <c r="BN46" s="645"/>
      <c r="BO46" s="645"/>
      <c r="BP46" s="645"/>
      <c r="BQ46" s="645"/>
      <c r="BR46" s="645"/>
      <c r="BS46" s="645"/>
      <c r="BT46" s="645"/>
      <c r="BU46" s="645"/>
      <c r="BV46" s="645"/>
      <c r="BW46" s="645"/>
      <c r="BX46" s="645"/>
      <c r="BY46" s="645"/>
      <c r="BZ46" s="645"/>
      <c r="CA46" s="645"/>
      <c r="CB46" s="645"/>
      <c r="CC46" s="645"/>
      <c r="CD46" s="645"/>
      <c r="CE46" s="645"/>
      <c r="CF46" s="645"/>
    </row>
    <row r="47" spans="1:84" s="663" customFormat="1" ht="15.75" customHeight="1">
      <c r="A47" s="635">
        <v>41</v>
      </c>
      <c r="B47" s="642"/>
      <c r="C47" s="474" t="s">
        <v>2190</v>
      </c>
      <c r="D47" s="474" t="s">
        <v>2176</v>
      </c>
      <c r="E47" s="633"/>
      <c r="F47" s="580"/>
      <c r="G47" s="660"/>
      <c r="H47" s="660"/>
      <c r="I47" s="660"/>
      <c r="J47" s="664" t="s">
        <v>2170</v>
      </c>
      <c r="K47" s="648">
        <v>1</v>
      </c>
      <c r="L47" s="898"/>
      <c r="M47" s="636"/>
      <c r="N47" s="636"/>
      <c r="O47" s="636"/>
      <c r="P47" s="636"/>
      <c r="Q47" s="898"/>
      <c r="R47" s="898"/>
      <c r="S47" s="636">
        <f t="shared" si="7"/>
        <v>2300</v>
      </c>
      <c r="T47" s="637"/>
      <c r="U47" s="636">
        <f t="shared" si="2"/>
        <v>2300</v>
      </c>
      <c r="V47" s="636" t="str">
        <f t="shared" si="3"/>
        <v/>
      </c>
      <c r="W47" s="522">
        <v>2300</v>
      </c>
      <c r="X47" s="633"/>
      <c r="Y47" s="645"/>
      <c r="Z47" s="645"/>
      <c r="AA47" s="645"/>
      <c r="AB47" s="645"/>
      <c r="AC47" s="645"/>
      <c r="AD47" s="645"/>
      <c r="AE47" s="645"/>
      <c r="AF47" s="645"/>
      <c r="AG47" s="645"/>
      <c r="AH47" s="645"/>
      <c r="AI47" s="645"/>
      <c r="AJ47" s="645"/>
      <c r="AK47" s="645"/>
      <c r="AL47" s="645"/>
      <c r="AM47" s="645"/>
      <c r="AN47" s="645"/>
      <c r="AO47" s="645"/>
      <c r="AP47" s="645"/>
      <c r="AQ47" s="645"/>
      <c r="AR47" s="645"/>
      <c r="AS47" s="645"/>
      <c r="AT47" s="645"/>
      <c r="AU47" s="645"/>
      <c r="AV47" s="645"/>
      <c r="AW47" s="645"/>
      <c r="AX47" s="645"/>
      <c r="AY47" s="645"/>
      <c r="AZ47" s="645"/>
      <c r="BA47" s="645"/>
      <c r="BB47" s="645"/>
      <c r="BC47" s="645"/>
      <c r="BD47" s="645"/>
      <c r="BE47" s="645"/>
      <c r="BF47" s="645"/>
      <c r="BG47" s="645"/>
      <c r="BH47" s="645"/>
      <c r="BI47" s="645"/>
      <c r="BJ47" s="645"/>
      <c r="BK47" s="645"/>
      <c r="BL47" s="645"/>
      <c r="BM47" s="645"/>
      <c r="BN47" s="645"/>
      <c r="BO47" s="645"/>
      <c r="BP47" s="645"/>
      <c r="BQ47" s="645"/>
      <c r="BR47" s="645"/>
      <c r="BS47" s="645"/>
      <c r="BT47" s="645"/>
      <c r="BU47" s="645"/>
      <c r="BV47" s="645"/>
      <c r="BW47" s="645"/>
      <c r="BX47" s="645"/>
      <c r="BY47" s="645"/>
      <c r="BZ47" s="645"/>
      <c r="CA47" s="645"/>
      <c r="CB47" s="645"/>
      <c r="CC47" s="645"/>
      <c r="CD47" s="645"/>
      <c r="CE47" s="645"/>
      <c r="CF47" s="645"/>
    </row>
    <row r="48" spans="1:84" s="663" customFormat="1" ht="15.75" customHeight="1">
      <c r="A48" s="635">
        <v>42</v>
      </c>
      <c r="B48" s="642"/>
      <c r="C48" s="474" t="s">
        <v>2191</v>
      </c>
      <c r="D48" s="474" t="s">
        <v>2180</v>
      </c>
      <c r="E48" s="633"/>
      <c r="F48" s="580"/>
      <c r="G48" s="660"/>
      <c r="H48" s="660"/>
      <c r="I48" s="660"/>
      <c r="J48" s="664" t="s">
        <v>2170</v>
      </c>
      <c r="K48" s="648">
        <v>1</v>
      </c>
      <c r="L48" s="898"/>
      <c r="M48" s="636"/>
      <c r="N48" s="636"/>
      <c r="O48" s="636"/>
      <c r="P48" s="636"/>
      <c r="Q48" s="898"/>
      <c r="R48" s="898"/>
      <c r="S48" s="636">
        <f t="shared" si="7"/>
        <v>3800</v>
      </c>
      <c r="T48" s="637"/>
      <c r="U48" s="636">
        <f t="shared" si="2"/>
        <v>3800</v>
      </c>
      <c r="V48" s="636" t="str">
        <f t="shared" si="3"/>
        <v/>
      </c>
      <c r="W48" s="522">
        <v>3800</v>
      </c>
      <c r="X48" s="633"/>
      <c r="Y48" s="645"/>
      <c r="Z48" s="645"/>
      <c r="AA48" s="645"/>
      <c r="AB48" s="645"/>
      <c r="AC48" s="645"/>
      <c r="AD48" s="645"/>
      <c r="AE48" s="645"/>
      <c r="AF48" s="645"/>
      <c r="AG48" s="645"/>
      <c r="AH48" s="645"/>
      <c r="AI48" s="645"/>
      <c r="AJ48" s="645"/>
      <c r="AK48" s="645"/>
      <c r="AL48" s="645"/>
      <c r="AM48" s="645"/>
      <c r="AN48" s="645"/>
      <c r="AO48" s="645"/>
      <c r="AP48" s="645"/>
      <c r="AQ48" s="645"/>
      <c r="AR48" s="645"/>
      <c r="AS48" s="645"/>
      <c r="AT48" s="645"/>
      <c r="AU48" s="645"/>
      <c r="AV48" s="645"/>
      <c r="AW48" s="645"/>
      <c r="AX48" s="645"/>
      <c r="AY48" s="645"/>
      <c r="AZ48" s="645"/>
      <c r="BA48" s="645"/>
      <c r="BB48" s="645"/>
      <c r="BC48" s="645"/>
      <c r="BD48" s="645"/>
      <c r="BE48" s="645"/>
      <c r="BF48" s="645"/>
      <c r="BG48" s="645"/>
      <c r="BH48" s="645"/>
      <c r="BI48" s="645"/>
      <c r="BJ48" s="645"/>
      <c r="BK48" s="645"/>
      <c r="BL48" s="645"/>
      <c r="BM48" s="645"/>
      <c r="BN48" s="645"/>
      <c r="BO48" s="645"/>
      <c r="BP48" s="645"/>
      <c r="BQ48" s="645"/>
      <c r="BR48" s="645"/>
      <c r="BS48" s="645"/>
      <c r="BT48" s="645"/>
      <c r="BU48" s="645"/>
      <c r="BV48" s="645"/>
      <c r="BW48" s="645"/>
      <c r="BX48" s="645"/>
      <c r="BY48" s="645"/>
      <c r="BZ48" s="645"/>
      <c r="CA48" s="645"/>
      <c r="CB48" s="645"/>
      <c r="CC48" s="645"/>
      <c r="CD48" s="645"/>
      <c r="CE48" s="645"/>
      <c r="CF48" s="645"/>
    </row>
    <row r="49" spans="1:84" s="663" customFormat="1" ht="15.75" customHeight="1">
      <c r="A49" s="635">
        <v>43</v>
      </c>
      <c r="B49" s="642"/>
      <c r="C49" s="474" t="s">
        <v>2192</v>
      </c>
      <c r="D49" s="474" t="s">
        <v>2180</v>
      </c>
      <c r="E49" s="633"/>
      <c r="F49" s="580"/>
      <c r="G49" s="660"/>
      <c r="H49" s="660"/>
      <c r="I49" s="660"/>
      <c r="J49" s="664" t="s">
        <v>2170</v>
      </c>
      <c r="K49" s="648">
        <v>1</v>
      </c>
      <c r="L49" s="898"/>
      <c r="M49" s="636"/>
      <c r="N49" s="636"/>
      <c r="O49" s="636"/>
      <c r="P49" s="636"/>
      <c r="Q49" s="898"/>
      <c r="R49" s="898"/>
      <c r="S49" s="636">
        <f t="shared" si="7"/>
        <v>3800</v>
      </c>
      <c r="T49" s="637"/>
      <c r="U49" s="636">
        <f t="shared" si="2"/>
        <v>3800</v>
      </c>
      <c r="V49" s="636" t="str">
        <f t="shared" si="3"/>
        <v/>
      </c>
      <c r="W49" s="522">
        <v>3800</v>
      </c>
      <c r="X49" s="633"/>
      <c r="Y49" s="645"/>
      <c r="Z49" s="645"/>
      <c r="AA49" s="645"/>
      <c r="AB49" s="645"/>
      <c r="AC49" s="645"/>
      <c r="AD49" s="645"/>
      <c r="AE49" s="645"/>
      <c r="AF49" s="645"/>
      <c r="AG49" s="645"/>
      <c r="AH49" s="645"/>
      <c r="AI49" s="645"/>
      <c r="AJ49" s="645"/>
      <c r="AK49" s="645"/>
      <c r="AL49" s="645"/>
      <c r="AM49" s="645"/>
      <c r="AN49" s="645"/>
      <c r="AO49" s="645"/>
      <c r="AP49" s="645"/>
      <c r="AQ49" s="645"/>
      <c r="AR49" s="645"/>
      <c r="AS49" s="645"/>
      <c r="AT49" s="645"/>
      <c r="AU49" s="645"/>
      <c r="AV49" s="645"/>
      <c r="AW49" s="645"/>
      <c r="AX49" s="645"/>
      <c r="AY49" s="645"/>
      <c r="AZ49" s="645"/>
      <c r="BA49" s="645"/>
      <c r="BB49" s="645"/>
      <c r="BC49" s="645"/>
      <c r="BD49" s="645"/>
      <c r="BE49" s="645"/>
      <c r="BF49" s="645"/>
      <c r="BG49" s="645"/>
      <c r="BH49" s="645"/>
      <c r="BI49" s="645"/>
      <c r="BJ49" s="645"/>
      <c r="BK49" s="645"/>
      <c r="BL49" s="645"/>
      <c r="BM49" s="645"/>
      <c r="BN49" s="645"/>
      <c r="BO49" s="645"/>
      <c r="BP49" s="645"/>
      <c r="BQ49" s="645"/>
      <c r="BR49" s="645"/>
      <c r="BS49" s="645"/>
      <c r="BT49" s="645"/>
      <c r="BU49" s="645"/>
      <c r="BV49" s="645"/>
      <c r="BW49" s="645"/>
      <c r="BX49" s="645"/>
      <c r="BY49" s="645"/>
      <c r="BZ49" s="645"/>
      <c r="CA49" s="645"/>
      <c r="CB49" s="645"/>
      <c r="CC49" s="645"/>
      <c r="CD49" s="645"/>
      <c r="CE49" s="645"/>
      <c r="CF49" s="645"/>
    </row>
    <row r="50" spans="1:84" s="663" customFormat="1" ht="15.75" customHeight="1">
      <c r="A50" s="635">
        <v>44</v>
      </c>
      <c r="B50" s="642"/>
      <c r="C50" s="474" t="s">
        <v>2193</v>
      </c>
      <c r="D50" s="474" t="s">
        <v>2194</v>
      </c>
      <c r="E50" s="633"/>
      <c r="F50" s="580"/>
      <c r="G50" s="660"/>
      <c r="H50" s="660"/>
      <c r="I50" s="660"/>
      <c r="J50" s="664" t="s">
        <v>2170</v>
      </c>
      <c r="K50" s="648">
        <v>1</v>
      </c>
      <c r="L50" s="898"/>
      <c r="M50" s="636"/>
      <c r="N50" s="636"/>
      <c r="O50" s="636"/>
      <c r="P50" s="636"/>
      <c r="Q50" s="898"/>
      <c r="R50" s="898"/>
      <c r="S50" s="636">
        <f t="shared" si="7"/>
        <v>6700</v>
      </c>
      <c r="T50" s="637"/>
      <c r="U50" s="636">
        <f t="shared" si="2"/>
        <v>6700</v>
      </c>
      <c r="V50" s="636" t="str">
        <f t="shared" si="3"/>
        <v/>
      </c>
      <c r="W50" s="522">
        <v>6700</v>
      </c>
      <c r="X50" s="633"/>
      <c r="Y50" s="645"/>
      <c r="Z50" s="645"/>
      <c r="AA50" s="645"/>
      <c r="AB50" s="645"/>
      <c r="AC50" s="645"/>
      <c r="AD50" s="645"/>
      <c r="AE50" s="645"/>
      <c r="AF50" s="645"/>
      <c r="AG50" s="645"/>
      <c r="AH50" s="645"/>
      <c r="AI50" s="645"/>
      <c r="AJ50" s="645"/>
      <c r="AK50" s="645"/>
      <c r="AL50" s="645"/>
      <c r="AM50" s="645"/>
      <c r="AN50" s="645"/>
      <c r="AO50" s="645"/>
      <c r="AP50" s="645"/>
      <c r="AQ50" s="645"/>
      <c r="AR50" s="645"/>
      <c r="AS50" s="645"/>
      <c r="AT50" s="645"/>
      <c r="AU50" s="645"/>
      <c r="AV50" s="645"/>
      <c r="AW50" s="645"/>
      <c r="AX50" s="645"/>
      <c r="AY50" s="645"/>
      <c r="AZ50" s="645"/>
      <c r="BA50" s="645"/>
      <c r="BB50" s="645"/>
      <c r="BC50" s="645"/>
      <c r="BD50" s="645"/>
      <c r="BE50" s="645"/>
      <c r="BF50" s="645"/>
      <c r="BG50" s="645"/>
      <c r="BH50" s="645"/>
      <c r="BI50" s="645"/>
      <c r="BJ50" s="645"/>
      <c r="BK50" s="645"/>
      <c r="BL50" s="645"/>
      <c r="BM50" s="645"/>
      <c r="BN50" s="645"/>
      <c r="BO50" s="645"/>
      <c r="BP50" s="645"/>
      <c r="BQ50" s="645"/>
      <c r="BR50" s="645"/>
      <c r="BS50" s="645"/>
      <c r="BT50" s="645"/>
      <c r="BU50" s="645"/>
      <c r="BV50" s="645"/>
      <c r="BW50" s="645"/>
      <c r="BX50" s="645"/>
      <c r="BY50" s="645"/>
      <c r="BZ50" s="645"/>
      <c r="CA50" s="645"/>
      <c r="CB50" s="645"/>
      <c r="CC50" s="645"/>
      <c r="CD50" s="645"/>
      <c r="CE50" s="645"/>
      <c r="CF50" s="645"/>
    </row>
    <row r="51" spans="1:84" s="663" customFormat="1" ht="15.75" customHeight="1">
      <c r="A51" s="635">
        <v>45</v>
      </c>
      <c r="B51" s="642"/>
      <c r="C51" s="474" t="s">
        <v>2195</v>
      </c>
      <c r="D51" s="474" t="s">
        <v>2180</v>
      </c>
      <c r="E51" s="633"/>
      <c r="F51" s="580"/>
      <c r="G51" s="660"/>
      <c r="H51" s="660"/>
      <c r="I51" s="660"/>
      <c r="J51" s="664" t="s">
        <v>2170</v>
      </c>
      <c r="K51" s="648">
        <v>1</v>
      </c>
      <c r="L51" s="898"/>
      <c r="M51" s="636"/>
      <c r="N51" s="636"/>
      <c r="O51" s="636"/>
      <c r="P51" s="636"/>
      <c r="Q51" s="898"/>
      <c r="R51" s="898"/>
      <c r="S51" s="636">
        <f t="shared" si="7"/>
        <v>3800</v>
      </c>
      <c r="T51" s="637"/>
      <c r="U51" s="636">
        <f t="shared" si="2"/>
        <v>3800</v>
      </c>
      <c r="V51" s="636" t="str">
        <f t="shared" si="3"/>
        <v/>
      </c>
      <c r="W51" s="522">
        <v>3800</v>
      </c>
      <c r="X51" s="633"/>
      <c r="Y51" s="645"/>
      <c r="Z51" s="645"/>
      <c r="AA51" s="645"/>
      <c r="AB51" s="645"/>
      <c r="AC51" s="645"/>
      <c r="AD51" s="645"/>
      <c r="AE51" s="645"/>
      <c r="AF51" s="645"/>
      <c r="AG51" s="645"/>
      <c r="AH51" s="645"/>
      <c r="AI51" s="645"/>
      <c r="AJ51" s="645"/>
      <c r="AK51" s="645"/>
      <c r="AL51" s="645"/>
      <c r="AM51" s="645"/>
      <c r="AN51" s="645"/>
      <c r="AO51" s="645"/>
      <c r="AP51" s="645"/>
      <c r="AQ51" s="645"/>
      <c r="AR51" s="645"/>
      <c r="AS51" s="645"/>
      <c r="AT51" s="645"/>
      <c r="AU51" s="645"/>
      <c r="AV51" s="645"/>
      <c r="AW51" s="645"/>
      <c r="AX51" s="645"/>
      <c r="AY51" s="645"/>
      <c r="AZ51" s="645"/>
      <c r="BA51" s="645"/>
      <c r="BB51" s="645"/>
      <c r="BC51" s="645"/>
      <c r="BD51" s="645"/>
      <c r="BE51" s="645"/>
      <c r="BF51" s="645"/>
      <c r="BG51" s="645"/>
      <c r="BH51" s="645"/>
      <c r="BI51" s="645"/>
      <c r="BJ51" s="645"/>
      <c r="BK51" s="645"/>
      <c r="BL51" s="645"/>
      <c r="BM51" s="645"/>
      <c r="BN51" s="645"/>
      <c r="BO51" s="645"/>
      <c r="BP51" s="645"/>
      <c r="BQ51" s="645"/>
      <c r="BR51" s="645"/>
      <c r="BS51" s="645"/>
      <c r="BT51" s="645"/>
      <c r="BU51" s="645"/>
      <c r="BV51" s="645"/>
      <c r="BW51" s="645"/>
      <c r="BX51" s="645"/>
      <c r="BY51" s="645"/>
      <c r="BZ51" s="645"/>
      <c r="CA51" s="645"/>
      <c r="CB51" s="645"/>
      <c r="CC51" s="645"/>
      <c r="CD51" s="645"/>
      <c r="CE51" s="645"/>
      <c r="CF51" s="645"/>
    </row>
    <row r="52" spans="1:84" s="663" customFormat="1" ht="15.75" customHeight="1">
      <c r="A52" s="635">
        <v>46</v>
      </c>
      <c r="B52" s="642"/>
      <c r="C52" s="474" t="s">
        <v>2196</v>
      </c>
      <c r="D52" s="474" t="s">
        <v>2180</v>
      </c>
      <c r="E52" s="633"/>
      <c r="F52" s="580"/>
      <c r="G52" s="660"/>
      <c r="H52" s="660"/>
      <c r="I52" s="660"/>
      <c r="J52" s="664" t="s">
        <v>2170</v>
      </c>
      <c r="K52" s="648">
        <v>1</v>
      </c>
      <c r="L52" s="898"/>
      <c r="M52" s="636"/>
      <c r="N52" s="636"/>
      <c r="O52" s="636"/>
      <c r="P52" s="636"/>
      <c r="Q52" s="898"/>
      <c r="R52" s="898"/>
      <c r="S52" s="636">
        <f t="shared" si="7"/>
        <v>3800</v>
      </c>
      <c r="T52" s="637"/>
      <c r="U52" s="636">
        <f t="shared" si="2"/>
        <v>3800</v>
      </c>
      <c r="V52" s="636" t="str">
        <f t="shared" si="3"/>
        <v/>
      </c>
      <c r="W52" s="522">
        <v>3800</v>
      </c>
      <c r="X52" s="633"/>
      <c r="Y52" s="645"/>
      <c r="Z52" s="645"/>
      <c r="AA52" s="645"/>
      <c r="AB52" s="645"/>
      <c r="AC52" s="645"/>
      <c r="AD52" s="645"/>
      <c r="AE52" s="645"/>
      <c r="AF52" s="645"/>
      <c r="AG52" s="645"/>
      <c r="AH52" s="645"/>
      <c r="AI52" s="645"/>
      <c r="AJ52" s="645"/>
      <c r="AK52" s="645"/>
      <c r="AL52" s="645"/>
      <c r="AM52" s="645"/>
      <c r="AN52" s="645"/>
      <c r="AO52" s="645"/>
      <c r="AP52" s="645"/>
      <c r="AQ52" s="645"/>
      <c r="AR52" s="645"/>
      <c r="AS52" s="645"/>
      <c r="AT52" s="645"/>
      <c r="AU52" s="645"/>
      <c r="AV52" s="645"/>
      <c r="AW52" s="645"/>
      <c r="AX52" s="645"/>
      <c r="AY52" s="645"/>
      <c r="AZ52" s="645"/>
      <c r="BA52" s="645"/>
      <c r="BB52" s="645"/>
      <c r="BC52" s="645"/>
      <c r="BD52" s="645"/>
      <c r="BE52" s="645"/>
      <c r="BF52" s="645"/>
      <c r="BG52" s="645"/>
      <c r="BH52" s="645"/>
      <c r="BI52" s="645"/>
      <c r="BJ52" s="645"/>
      <c r="BK52" s="645"/>
      <c r="BL52" s="645"/>
      <c r="BM52" s="645"/>
      <c r="BN52" s="645"/>
      <c r="BO52" s="645"/>
      <c r="BP52" s="645"/>
      <c r="BQ52" s="645"/>
      <c r="BR52" s="645"/>
      <c r="BS52" s="645"/>
      <c r="BT52" s="645"/>
      <c r="BU52" s="645"/>
      <c r="BV52" s="645"/>
      <c r="BW52" s="645"/>
      <c r="BX52" s="645"/>
      <c r="BY52" s="645"/>
      <c r="BZ52" s="645"/>
      <c r="CA52" s="645"/>
      <c r="CB52" s="645"/>
      <c r="CC52" s="645"/>
      <c r="CD52" s="645"/>
      <c r="CE52" s="645"/>
      <c r="CF52" s="645"/>
    </row>
    <row r="53" spans="1:84" s="663" customFormat="1" ht="15.75" customHeight="1">
      <c r="A53" s="635">
        <v>47</v>
      </c>
      <c r="B53" s="642"/>
      <c r="C53" s="474" t="s">
        <v>2197</v>
      </c>
      <c r="D53" s="474" t="s">
        <v>2180</v>
      </c>
      <c r="E53" s="633"/>
      <c r="F53" s="580"/>
      <c r="G53" s="660"/>
      <c r="H53" s="660"/>
      <c r="I53" s="660"/>
      <c r="J53" s="664" t="s">
        <v>2170</v>
      </c>
      <c r="K53" s="648">
        <v>1</v>
      </c>
      <c r="L53" s="898"/>
      <c r="M53" s="636"/>
      <c r="N53" s="636"/>
      <c r="O53" s="636"/>
      <c r="P53" s="636"/>
      <c r="Q53" s="898"/>
      <c r="R53" s="898"/>
      <c r="S53" s="636">
        <f t="shared" si="7"/>
        <v>3800</v>
      </c>
      <c r="T53" s="637"/>
      <c r="U53" s="636">
        <f t="shared" si="2"/>
        <v>3800</v>
      </c>
      <c r="V53" s="636" t="str">
        <f t="shared" si="3"/>
        <v/>
      </c>
      <c r="W53" s="522">
        <v>3800</v>
      </c>
      <c r="X53" s="633"/>
      <c r="Y53" s="645"/>
      <c r="Z53" s="645"/>
      <c r="AA53" s="645"/>
      <c r="AB53" s="645"/>
      <c r="AC53" s="645"/>
      <c r="AD53" s="645"/>
      <c r="AE53" s="645"/>
      <c r="AF53" s="645"/>
      <c r="AG53" s="645"/>
      <c r="AH53" s="645"/>
      <c r="AI53" s="645"/>
      <c r="AJ53" s="645"/>
      <c r="AK53" s="645"/>
      <c r="AL53" s="645"/>
      <c r="AM53" s="645"/>
      <c r="AN53" s="645"/>
      <c r="AO53" s="645"/>
      <c r="AP53" s="645"/>
      <c r="AQ53" s="645"/>
      <c r="AR53" s="645"/>
      <c r="AS53" s="645"/>
      <c r="AT53" s="645"/>
      <c r="AU53" s="645"/>
      <c r="AV53" s="645"/>
      <c r="AW53" s="645"/>
      <c r="AX53" s="645"/>
      <c r="AY53" s="645"/>
      <c r="AZ53" s="645"/>
      <c r="BA53" s="645"/>
      <c r="BB53" s="645"/>
      <c r="BC53" s="645"/>
      <c r="BD53" s="645"/>
      <c r="BE53" s="645"/>
      <c r="BF53" s="645"/>
      <c r="BG53" s="645"/>
      <c r="BH53" s="645"/>
      <c r="BI53" s="645"/>
      <c r="BJ53" s="645"/>
      <c r="BK53" s="645"/>
      <c r="BL53" s="645"/>
      <c r="BM53" s="645"/>
      <c r="BN53" s="645"/>
      <c r="BO53" s="645"/>
      <c r="BP53" s="645"/>
      <c r="BQ53" s="645"/>
      <c r="BR53" s="645"/>
      <c r="BS53" s="645"/>
      <c r="BT53" s="645"/>
      <c r="BU53" s="645"/>
      <c r="BV53" s="645"/>
      <c r="BW53" s="645"/>
      <c r="BX53" s="645"/>
      <c r="BY53" s="645"/>
      <c r="BZ53" s="645"/>
      <c r="CA53" s="645"/>
      <c r="CB53" s="645"/>
      <c r="CC53" s="645"/>
      <c r="CD53" s="645"/>
      <c r="CE53" s="645"/>
      <c r="CF53" s="645"/>
    </row>
    <row r="54" spans="1:84" s="663" customFormat="1" ht="15.75" customHeight="1">
      <c r="A54" s="635">
        <v>48</v>
      </c>
      <c r="B54" s="642"/>
      <c r="C54" s="474" t="s">
        <v>2198</v>
      </c>
      <c r="D54" s="474" t="s">
        <v>2178</v>
      </c>
      <c r="E54" s="633"/>
      <c r="F54" s="580"/>
      <c r="G54" s="660"/>
      <c r="H54" s="660"/>
      <c r="I54" s="660"/>
      <c r="J54" s="664" t="s">
        <v>2170</v>
      </c>
      <c r="K54" s="648">
        <v>1</v>
      </c>
      <c r="L54" s="898"/>
      <c r="M54" s="636"/>
      <c r="N54" s="636"/>
      <c r="O54" s="636"/>
      <c r="P54" s="636"/>
      <c r="Q54" s="898"/>
      <c r="R54" s="898"/>
      <c r="S54" s="636">
        <f t="shared" si="7"/>
        <v>6700</v>
      </c>
      <c r="T54" s="637"/>
      <c r="U54" s="636">
        <f t="shared" si="2"/>
        <v>6700</v>
      </c>
      <c r="V54" s="636" t="str">
        <f t="shared" si="3"/>
        <v/>
      </c>
      <c r="W54" s="522">
        <v>6700</v>
      </c>
      <c r="X54" s="633"/>
      <c r="Y54" s="645"/>
      <c r="Z54" s="645"/>
      <c r="AA54" s="645"/>
      <c r="AB54" s="645"/>
      <c r="AC54" s="645"/>
      <c r="AD54" s="645"/>
      <c r="AE54" s="645"/>
      <c r="AF54" s="645"/>
      <c r="AG54" s="645"/>
      <c r="AH54" s="645"/>
      <c r="AI54" s="645"/>
      <c r="AJ54" s="645"/>
      <c r="AK54" s="645"/>
      <c r="AL54" s="645"/>
      <c r="AM54" s="645"/>
      <c r="AN54" s="645"/>
      <c r="AO54" s="645"/>
      <c r="AP54" s="645"/>
      <c r="AQ54" s="645"/>
      <c r="AR54" s="645"/>
      <c r="AS54" s="645"/>
      <c r="AT54" s="645"/>
      <c r="AU54" s="645"/>
      <c r="AV54" s="645"/>
      <c r="AW54" s="645"/>
      <c r="AX54" s="645"/>
      <c r="AY54" s="645"/>
      <c r="AZ54" s="645"/>
      <c r="BA54" s="645"/>
      <c r="BB54" s="645"/>
      <c r="BC54" s="645"/>
      <c r="BD54" s="645"/>
      <c r="BE54" s="645"/>
      <c r="BF54" s="645"/>
      <c r="BG54" s="645"/>
      <c r="BH54" s="645"/>
      <c r="BI54" s="645"/>
      <c r="BJ54" s="645"/>
      <c r="BK54" s="645"/>
      <c r="BL54" s="645"/>
      <c r="BM54" s="645"/>
      <c r="BN54" s="645"/>
      <c r="BO54" s="645"/>
      <c r="BP54" s="645"/>
      <c r="BQ54" s="645"/>
      <c r="BR54" s="645"/>
      <c r="BS54" s="645"/>
      <c r="BT54" s="645"/>
      <c r="BU54" s="645"/>
      <c r="BV54" s="645"/>
      <c r="BW54" s="645"/>
      <c r="BX54" s="645"/>
      <c r="BY54" s="645"/>
      <c r="BZ54" s="645"/>
      <c r="CA54" s="645"/>
      <c r="CB54" s="645"/>
      <c r="CC54" s="645"/>
      <c r="CD54" s="645"/>
      <c r="CE54" s="645"/>
      <c r="CF54" s="645"/>
    </row>
    <row r="55" spans="1:84" s="663" customFormat="1" ht="15.75" customHeight="1">
      <c r="A55" s="635">
        <v>49</v>
      </c>
      <c r="B55" s="642"/>
      <c r="C55" s="474" t="s">
        <v>2199</v>
      </c>
      <c r="D55" s="474" t="s">
        <v>2176</v>
      </c>
      <c r="E55" s="633"/>
      <c r="F55" s="580"/>
      <c r="G55" s="660"/>
      <c r="H55" s="660"/>
      <c r="I55" s="660"/>
      <c r="J55" s="664" t="s">
        <v>2170</v>
      </c>
      <c r="K55" s="648">
        <v>1</v>
      </c>
      <c r="L55" s="898"/>
      <c r="M55" s="636"/>
      <c r="N55" s="636"/>
      <c r="O55" s="636"/>
      <c r="P55" s="636"/>
      <c r="Q55" s="898"/>
      <c r="R55" s="898"/>
      <c r="S55" s="636">
        <f t="shared" si="7"/>
        <v>2300</v>
      </c>
      <c r="T55" s="637"/>
      <c r="U55" s="636">
        <f t="shared" si="2"/>
        <v>2300</v>
      </c>
      <c r="V55" s="636" t="str">
        <f t="shared" si="3"/>
        <v/>
      </c>
      <c r="W55" s="522">
        <v>2300</v>
      </c>
      <c r="X55" s="633"/>
      <c r="Y55" s="645"/>
      <c r="Z55" s="645"/>
      <c r="AA55" s="645"/>
      <c r="AB55" s="645"/>
      <c r="AC55" s="645"/>
      <c r="AD55" s="645"/>
      <c r="AE55" s="645"/>
      <c r="AF55" s="645"/>
      <c r="AG55" s="645"/>
      <c r="AH55" s="645"/>
      <c r="AI55" s="645"/>
      <c r="AJ55" s="645"/>
      <c r="AK55" s="645"/>
      <c r="AL55" s="645"/>
      <c r="AM55" s="645"/>
      <c r="AN55" s="645"/>
      <c r="AO55" s="645"/>
      <c r="AP55" s="645"/>
      <c r="AQ55" s="645"/>
      <c r="AR55" s="645"/>
      <c r="AS55" s="645"/>
      <c r="AT55" s="645"/>
      <c r="AU55" s="645"/>
      <c r="AV55" s="645"/>
      <c r="AW55" s="645"/>
      <c r="AX55" s="645"/>
      <c r="AY55" s="645"/>
      <c r="AZ55" s="645"/>
      <c r="BA55" s="645"/>
      <c r="BB55" s="645"/>
      <c r="BC55" s="645"/>
      <c r="BD55" s="645"/>
      <c r="BE55" s="645"/>
      <c r="BF55" s="645"/>
      <c r="BG55" s="645"/>
      <c r="BH55" s="645"/>
      <c r="BI55" s="645"/>
      <c r="BJ55" s="645"/>
      <c r="BK55" s="645"/>
      <c r="BL55" s="645"/>
      <c r="BM55" s="645"/>
      <c r="BN55" s="645"/>
      <c r="BO55" s="645"/>
      <c r="BP55" s="645"/>
      <c r="BQ55" s="645"/>
      <c r="BR55" s="645"/>
      <c r="BS55" s="645"/>
      <c r="BT55" s="645"/>
      <c r="BU55" s="645"/>
      <c r="BV55" s="645"/>
      <c r="BW55" s="645"/>
      <c r="BX55" s="645"/>
      <c r="BY55" s="645"/>
      <c r="BZ55" s="645"/>
      <c r="CA55" s="645"/>
      <c r="CB55" s="645"/>
      <c r="CC55" s="645"/>
      <c r="CD55" s="645"/>
      <c r="CE55" s="645"/>
      <c r="CF55" s="645"/>
    </row>
    <row r="56" spans="1:84" s="663" customFormat="1" ht="15.75" customHeight="1">
      <c r="A56" s="635">
        <v>50</v>
      </c>
      <c r="B56" s="642"/>
      <c r="C56" s="474" t="s">
        <v>2200</v>
      </c>
      <c r="D56" s="474" t="s">
        <v>2201</v>
      </c>
      <c r="E56" s="633"/>
      <c r="F56" s="580"/>
      <c r="G56" s="660"/>
      <c r="H56" s="660"/>
      <c r="I56" s="660"/>
      <c r="J56" s="664" t="s">
        <v>2170</v>
      </c>
      <c r="K56" s="648">
        <v>1</v>
      </c>
      <c r="L56" s="898"/>
      <c r="M56" s="636"/>
      <c r="N56" s="636"/>
      <c r="O56" s="636"/>
      <c r="P56" s="636"/>
      <c r="Q56" s="898"/>
      <c r="R56" s="898"/>
      <c r="S56" s="636">
        <f t="shared" si="7"/>
        <v>3100</v>
      </c>
      <c r="T56" s="637"/>
      <c r="U56" s="636">
        <f t="shared" si="2"/>
        <v>3100</v>
      </c>
      <c r="V56" s="636" t="str">
        <f t="shared" si="3"/>
        <v/>
      </c>
      <c r="W56" s="522">
        <v>3100</v>
      </c>
      <c r="X56" s="633"/>
      <c r="Y56" s="645"/>
      <c r="Z56" s="645"/>
      <c r="AA56" s="645"/>
      <c r="AB56" s="645"/>
      <c r="AC56" s="645"/>
      <c r="AD56" s="645"/>
      <c r="AE56" s="645"/>
      <c r="AF56" s="645"/>
      <c r="AG56" s="645"/>
      <c r="AH56" s="645"/>
      <c r="AI56" s="645"/>
      <c r="AJ56" s="645"/>
      <c r="AK56" s="645"/>
      <c r="AL56" s="645"/>
      <c r="AM56" s="645"/>
      <c r="AN56" s="645"/>
      <c r="AO56" s="645"/>
      <c r="AP56" s="645"/>
      <c r="AQ56" s="645"/>
      <c r="AR56" s="645"/>
      <c r="AS56" s="645"/>
      <c r="AT56" s="645"/>
      <c r="AU56" s="645"/>
      <c r="AV56" s="645"/>
      <c r="AW56" s="645"/>
      <c r="AX56" s="645"/>
      <c r="AY56" s="645"/>
      <c r="AZ56" s="645"/>
      <c r="BA56" s="645"/>
      <c r="BB56" s="645"/>
      <c r="BC56" s="645"/>
      <c r="BD56" s="645"/>
      <c r="BE56" s="645"/>
      <c r="BF56" s="645"/>
      <c r="BG56" s="645"/>
      <c r="BH56" s="645"/>
      <c r="BI56" s="645"/>
      <c r="BJ56" s="645"/>
      <c r="BK56" s="645"/>
      <c r="BL56" s="645"/>
      <c r="BM56" s="645"/>
      <c r="BN56" s="645"/>
      <c r="BO56" s="645"/>
      <c r="BP56" s="645"/>
      <c r="BQ56" s="645"/>
      <c r="BR56" s="645"/>
      <c r="BS56" s="645"/>
      <c r="BT56" s="645"/>
      <c r="BU56" s="645"/>
      <c r="BV56" s="645"/>
      <c r="BW56" s="645"/>
      <c r="BX56" s="645"/>
      <c r="BY56" s="645"/>
      <c r="BZ56" s="645"/>
      <c r="CA56" s="645"/>
      <c r="CB56" s="645"/>
      <c r="CC56" s="645"/>
      <c r="CD56" s="645"/>
      <c r="CE56" s="645"/>
      <c r="CF56" s="645"/>
    </row>
    <row r="57" spans="1:84" s="663" customFormat="1" ht="15.75" customHeight="1">
      <c r="A57" s="635">
        <v>51</v>
      </c>
      <c r="B57" s="642"/>
      <c r="C57" s="474" t="s">
        <v>2202</v>
      </c>
      <c r="D57" s="474" t="s">
        <v>2180</v>
      </c>
      <c r="E57" s="633"/>
      <c r="F57" s="580"/>
      <c r="G57" s="660"/>
      <c r="H57" s="660"/>
      <c r="I57" s="660"/>
      <c r="J57" s="664" t="s">
        <v>2170</v>
      </c>
      <c r="K57" s="648">
        <v>1</v>
      </c>
      <c r="L57" s="898"/>
      <c r="M57" s="636"/>
      <c r="N57" s="636"/>
      <c r="O57" s="636"/>
      <c r="P57" s="636"/>
      <c r="Q57" s="898"/>
      <c r="R57" s="898"/>
      <c r="S57" s="636">
        <f t="shared" si="7"/>
        <v>3800</v>
      </c>
      <c r="T57" s="637"/>
      <c r="U57" s="636">
        <f t="shared" si="2"/>
        <v>3800</v>
      </c>
      <c r="V57" s="636" t="str">
        <f t="shared" si="3"/>
        <v/>
      </c>
      <c r="W57" s="522">
        <v>3800</v>
      </c>
      <c r="X57" s="633"/>
      <c r="Y57" s="645"/>
      <c r="Z57" s="645"/>
      <c r="AA57" s="645"/>
      <c r="AB57" s="645"/>
      <c r="AC57" s="645"/>
      <c r="AD57" s="645"/>
      <c r="AE57" s="645"/>
      <c r="AF57" s="645"/>
      <c r="AG57" s="645"/>
      <c r="AH57" s="645"/>
      <c r="AI57" s="645"/>
      <c r="AJ57" s="645"/>
      <c r="AK57" s="645"/>
      <c r="AL57" s="645"/>
      <c r="AM57" s="645"/>
      <c r="AN57" s="645"/>
      <c r="AO57" s="645"/>
      <c r="AP57" s="645"/>
      <c r="AQ57" s="645"/>
      <c r="AR57" s="645"/>
      <c r="AS57" s="645"/>
      <c r="AT57" s="645"/>
      <c r="AU57" s="645"/>
      <c r="AV57" s="645"/>
      <c r="AW57" s="645"/>
      <c r="AX57" s="645"/>
      <c r="AY57" s="645"/>
      <c r="AZ57" s="645"/>
      <c r="BA57" s="645"/>
      <c r="BB57" s="645"/>
      <c r="BC57" s="645"/>
      <c r="BD57" s="645"/>
      <c r="BE57" s="645"/>
      <c r="BF57" s="645"/>
      <c r="BG57" s="645"/>
      <c r="BH57" s="645"/>
      <c r="BI57" s="645"/>
      <c r="BJ57" s="645"/>
      <c r="BK57" s="645"/>
      <c r="BL57" s="645"/>
      <c r="BM57" s="645"/>
      <c r="BN57" s="645"/>
      <c r="BO57" s="645"/>
      <c r="BP57" s="645"/>
      <c r="BQ57" s="645"/>
      <c r="BR57" s="645"/>
      <c r="BS57" s="645"/>
      <c r="BT57" s="645"/>
      <c r="BU57" s="645"/>
      <c r="BV57" s="645"/>
      <c r="BW57" s="645"/>
      <c r="BX57" s="645"/>
      <c r="BY57" s="645"/>
      <c r="BZ57" s="645"/>
      <c r="CA57" s="645"/>
      <c r="CB57" s="645"/>
      <c r="CC57" s="645"/>
      <c r="CD57" s="645"/>
      <c r="CE57" s="645"/>
      <c r="CF57" s="645"/>
    </row>
    <row r="58" spans="1:84" s="663" customFormat="1" ht="15.75" customHeight="1">
      <c r="A58" s="635">
        <v>52</v>
      </c>
      <c r="B58" s="642"/>
      <c r="C58" s="474" t="s">
        <v>2203</v>
      </c>
      <c r="D58" s="474" t="s">
        <v>2201</v>
      </c>
      <c r="E58" s="633"/>
      <c r="F58" s="580"/>
      <c r="G58" s="660"/>
      <c r="H58" s="660"/>
      <c r="I58" s="660"/>
      <c r="J58" s="664" t="s">
        <v>2170</v>
      </c>
      <c r="K58" s="648">
        <v>1</v>
      </c>
      <c r="L58" s="898"/>
      <c r="M58" s="636"/>
      <c r="N58" s="636"/>
      <c r="O58" s="636"/>
      <c r="P58" s="636"/>
      <c r="Q58" s="898"/>
      <c r="R58" s="898"/>
      <c r="S58" s="636">
        <f t="shared" si="7"/>
        <v>3100</v>
      </c>
      <c r="T58" s="637"/>
      <c r="U58" s="636">
        <f t="shared" si="2"/>
        <v>3100</v>
      </c>
      <c r="V58" s="636" t="str">
        <f t="shared" si="3"/>
        <v/>
      </c>
      <c r="W58" s="522">
        <v>3100</v>
      </c>
      <c r="X58" s="633"/>
      <c r="Y58" s="645"/>
      <c r="Z58" s="645"/>
      <c r="AA58" s="645"/>
      <c r="AB58" s="645"/>
      <c r="AC58" s="645"/>
      <c r="AD58" s="645"/>
      <c r="AE58" s="645"/>
      <c r="AF58" s="645"/>
      <c r="AG58" s="645"/>
      <c r="AH58" s="645"/>
      <c r="AI58" s="645"/>
      <c r="AJ58" s="645"/>
      <c r="AK58" s="645"/>
      <c r="AL58" s="645"/>
      <c r="AM58" s="645"/>
      <c r="AN58" s="645"/>
      <c r="AO58" s="645"/>
      <c r="AP58" s="645"/>
      <c r="AQ58" s="645"/>
      <c r="AR58" s="645"/>
      <c r="AS58" s="645"/>
      <c r="AT58" s="645"/>
      <c r="AU58" s="645"/>
      <c r="AV58" s="645"/>
      <c r="AW58" s="645"/>
      <c r="AX58" s="645"/>
      <c r="AY58" s="645"/>
      <c r="AZ58" s="645"/>
      <c r="BA58" s="645"/>
      <c r="BB58" s="645"/>
      <c r="BC58" s="645"/>
      <c r="BD58" s="645"/>
      <c r="BE58" s="645"/>
      <c r="BF58" s="645"/>
      <c r="BG58" s="645"/>
      <c r="BH58" s="645"/>
      <c r="BI58" s="645"/>
      <c r="BJ58" s="645"/>
      <c r="BK58" s="645"/>
      <c r="BL58" s="645"/>
      <c r="BM58" s="645"/>
      <c r="BN58" s="645"/>
      <c r="BO58" s="645"/>
      <c r="BP58" s="645"/>
      <c r="BQ58" s="645"/>
      <c r="BR58" s="645"/>
      <c r="BS58" s="645"/>
      <c r="BT58" s="645"/>
      <c r="BU58" s="645"/>
      <c r="BV58" s="645"/>
      <c r="BW58" s="645"/>
      <c r="BX58" s="645"/>
      <c r="BY58" s="645"/>
      <c r="BZ58" s="645"/>
      <c r="CA58" s="645"/>
      <c r="CB58" s="645"/>
      <c r="CC58" s="645"/>
      <c r="CD58" s="645"/>
      <c r="CE58" s="645"/>
      <c r="CF58" s="645"/>
    </row>
    <row r="59" spans="1:84" s="663" customFormat="1" ht="15.75" customHeight="1">
      <c r="A59" s="635">
        <v>53</v>
      </c>
      <c r="B59" s="642"/>
      <c r="C59" s="474" t="s">
        <v>2204</v>
      </c>
      <c r="D59" s="474" t="s">
        <v>2180</v>
      </c>
      <c r="E59" s="633"/>
      <c r="F59" s="580"/>
      <c r="G59" s="660"/>
      <c r="H59" s="660"/>
      <c r="I59" s="660"/>
      <c r="J59" s="664" t="s">
        <v>2170</v>
      </c>
      <c r="K59" s="648">
        <v>1</v>
      </c>
      <c r="L59" s="898"/>
      <c r="M59" s="636"/>
      <c r="N59" s="636"/>
      <c r="O59" s="636"/>
      <c r="P59" s="636"/>
      <c r="Q59" s="898"/>
      <c r="R59" s="898"/>
      <c r="S59" s="636">
        <f t="shared" si="7"/>
        <v>3800</v>
      </c>
      <c r="T59" s="637"/>
      <c r="U59" s="636">
        <f t="shared" si="2"/>
        <v>3800</v>
      </c>
      <c r="V59" s="636" t="str">
        <f t="shared" si="3"/>
        <v/>
      </c>
      <c r="W59" s="522">
        <v>3800</v>
      </c>
      <c r="X59" s="633"/>
      <c r="Y59" s="645"/>
      <c r="Z59" s="645"/>
      <c r="AA59" s="645"/>
      <c r="AB59" s="645"/>
      <c r="AC59" s="645"/>
      <c r="AD59" s="645"/>
      <c r="AE59" s="645"/>
      <c r="AF59" s="645"/>
      <c r="AG59" s="645"/>
      <c r="AH59" s="645"/>
      <c r="AI59" s="645"/>
      <c r="AJ59" s="645"/>
      <c r="AK59" s="645"/>
      <c r="AL59" s="645"/>
      <c r="AM59" s="645"/>
      <c r="AN59" s="645"/>
      <c r="AO59" s="645"/>
      <c r="AP59" s="645"/>
      <c r="AQ59" s="645"/>
      <c r="AR59" s="645"/>
      <c r="AS59" s="645"/>
      <c r="AT59" s="645"/>
      <c r="AU59" s="645"/>
      <c r="AV59" s="645"/>
      <c r="AW59" s="645"/>
      <c r="AX59" s="645"/>
      <c r="AY59" s="645"/>
      <c r="AZ59" s="645"/>
      <c r="BA59" s="645"/>
      <c r="BB59" s="645"/>
      <c r="BC59" s="645"/>
      <c r="BD59" s="645"/>
      <c r="BE59" s="645"/>
      <c r="BF59" s="645"/>
      <c r="BG59" s="645"/>
      <c r="BH59" s="645"/>
      <c r="BI59" s="645"/>
      <c r="BJ59" s="645"/>
      <c r="BK59" s="645"/>
      <c r="BL59" s="645"/>
      <c r="BM59" s="645"/>
      <c r="BN59" s="645"/>
      <c r="BO59" s="645"/>
      <c r="BP59" s="645"/>
      <c r="BQ59" s="645"/>
      <c r="BR59" s="645"/>
      <c r="BS59" s="645"/>
      <c r="BT59" s="645"/>
      <c r="BU59" s="645"/>
      <c r="BV59" s="645"/>
      <c r="BW59" s="645"/>
      <c r="BX59" s="645"/>
      <c r="BY59" s="645"/>
      <c r="BZ59" s="645"/>
      <c r="CA59" s="645"/>
      <c r="CB59" s="645"/>
      <c r="CC59" s="645"/>
      <c r="CD59" s="645"/>
      <c r="CE59" s="645"/>
      <c r="CF59" s="645"/>
    </row>
    <row r="60" spans="1:84" s="663" customFormat="1" ht="15.75" customHeight="1">
      <c r="A60" s="635">
        <v>54</v>
      </c>
      <c r="B60" s="642"/>
      <c r="C60" s="474" t="s">
        <v>2205</v>
      </c>
      <c r="D60" s="474" t="s">
        <v>2206</v>
      </c>
      <c r="E60" s="633"/>
      <c r="F60" s="580"/>
      <c r="G60" s="660"/>
      <c r="H60" s="660"/>
      <c r="I60" s="660"/>
      <c r="J60" s="664" t="s">
        <v>2170</v>
      </c>
      <c r="K60" s="648">
        <v>1</v>
      </c>
      <c r="L60" s="898"/>
      <c r="M60" s="636"/>
      <c r="N60" s="636"/>
      <c r="O60" s="636"/>
      <c r="P60" s="636"/>
      <c r="Q60" s="898"/>
      <c r="R60" s="898"/>
      <c r="S60" s="636">
        <f t="shared" si="7"/>
        <v>4000</v>
      </c>
      <c r="T60" s="637"/>
      <c r="U60" s="636">
        <f t="shared" si="2"/>
        <v>4000</v>
      </c>
      <c r="V60" s="636" t="str">
        <f t="shared" si="3"/>
        <v/>
      </c>
      <c r="W60" s="522">
        <v>4000</v>
      </c>
      <c r="X60" s="633"/>
      <c r="Y60" s="645"/>
      <c r="Z60" s="645"/>
      <c r="AA60" s="645"/>
      <c r="AB60" s="645"/>
      <c r="AC60" s="645"/>
      <c r="AD60" s="645"/>
      <c r="AE60" s="645"/>
      <c r="AF60" s="645"/>
      <c r="AG60" s="645"/>
      <c r="AH60" s="645"/>
      <c r="AI60" s="645"/>
      <c r="AJ60" s="645"/>
      <c r="AK60" s="645"/>
      <c r="AL60" s="645"/>
      <c r="AM60" s="645"/>
      <c r="AN60" s="645"/>
      <c r="AO60" s="645"/>
      <c r="AP60" s="645"/>
      <c r="AQ60" s="645"/>
      <c r="AR60" s="645"/>
      <c r="AS60" s="645"/>
      <c r="AT60" s="645"/>
      <c r="AU60" s="645"/>
      <c r="AV60" s="645"/>
      <c r="AW60" s="645"/>
      <c r="AX60" s="645"/>
      <c r="AY60" s="645"/>
      <c r="AZ60" s="645"/>
      <c r="BA60" s="645"/>
      <c r="BB60" s="645"/>
      <c r="BC60" s="645"/>
      <c r="BD60" s="645"/>
      <c r="BE60" s="645"/>
      <c r="BF60" s="645"/>
      <c r="BG60" s="645"/>
      <c r="BH60" s="645"/>
      <c r="BI60" s="645"/>
      <c r="BJ60" s="645"/>
      <c r="BK60" s="645"/>
      <c r="BL60" s="645"/>
      <c r="BM60" s="645"/>
      <c r="BN60" s="645"/>
      <c r="BO60" s="645"/>
      <c r="BP60" s="645"/>
      <c r="BQ60" s="645"/>
      <c r="BR60" s="645"/>
      <c r="BS60" s="645"/>
      <c r="BT60" s="645"/>
      <c r="BU60" s="645"/>
      <c r="BV60" s="645"/>
      <c r="BW60" s="645"/>
      <c r="BX60" s="645"/>
      <c r="BY60" s="645"/>
      <c r="BZ60" s="645"/>
      <c r="CA60" s="645"/>
      <c r="CB60" s="645"/>
      <c r="CC60" s="645"/>
      <c r="CD60" s="645"/>
      <c r="CE60" s="645"/>
      <c r="CF60" s="645"/>
    </row>
    <row r="61" spans="1:84" s="663" customFormat="1" ht="15.75" customHeight="1">
      <c r="A61" s="635">
        <v>55</v>
      </c>
      <c r="B61" s="642"/>
      <c r="C61" s="474" t="s">
        <v>2207</v>
      </c>
      <c r="D61" s="474" t="s">
        <v>2180</v>
      </c>
      <c r="E61" s="633"/>
      <c r="F61" s="580"/>
      <c r="G61" s="660"/>
      <c r="H61" s="660"/>
      <c r="I61" s="660"/>
      <c r="J61" s="664" t="s">
        <v>2170</v>
      </c>
      <c r="K61" s="648">
        <v>1</v>
      </c>
      <c r="L61" s="898"/>
      <c r="M61" s="636"/>
      <c r="N61" s="636"/>
      <c r="O61" s="636"/>
      <c r="P61" s="636"/>
      <c r="Q61" s="898"/>
      <c r="R61" s="898"/>
      <c r="S61" s="636">
        <f t="shared" si="7"/>
        <v>3800</v>
      </c>
      <c r="T61" s="637"/>
      <c r="U61" s="636">
        <f t="shared" si="2"/>
        <v>3800</v>
      </c>
      <c r="V61" s="636" t="str">
        <f t="shared" si="3"/>
        <v/>
      </c>
      <c r="W61" s="522">
        <v>3800</v>
      </c>
      <c r="X61" s="633"/>
      <c r="Y61" s="645"/>
      <c r="Z61" s="645"/>
      <c r="AA61" s="645"/>
      <c r="AB61" s="645"/>
      <c r="AC61" s="645"/>
      <c r="AD61" s="645"/>
      <c r="AE61" s="645"/>
      <c r="AF61" s="645"/>
      <c r="AG61" s="645"/>
      <c r="AH61" s="645"/>
      <c r="AI61" s="645"/>
      <c r="AJ61" s="645"/>
      <c r="AK61" s="645"/>
      <c r="AL61" s="645"/>
      <c r="AM61" s="645"/>
      <c r="AN61" s="645"/>
      <c r="AO61" s="645"/>
      <c r="AP61" s="645"/>
      <c r="AQ61" s="645"/>
      <c r="AR61" s="645"/>
      <c r="AS61" s="645"/>
      <c r="AT61" s="645"/>
      <c r="AU61" s="645"/>
      <c r="AV61" s="645"/>
      <c r="AW61" s="645"/>
      <c r="AX61" s="645"/>
      <c r="AY61" s="645"/>
      <c r="AZ61" s="645"/>
      <c r="BA61" s="645"/>
      <c r="BB61" s="645"/>
      <c r="BC61" s="645"/>
      <c r="BD61" s="645"/>
      <c r="BE61" s="645"/>
      <c r="BF61" s="645"/>
      <c r="BG61" s="645"/>
      <c r="BH61" s="645"/>
      <c r="BI61" s="645"/>
      <c r="BJ61" s="645"/>
      <c r="BK61" s="645"/>
      <c r="BL61" s="645"/>
      <c r="BM61" s="645"/>
      <c r="BN61" s="645"/>
      <c r="BO61" s="645"/>
      <c r="BP61" s="645"/>
      <c r="BQ61" s="645"/>
      <c r="BR61" s="645"/>
      <c r="BS61" s="645"/>
      <c r="BT61" s="645"/>
      <c r="BU61" s="645"/>
      <c r="BV61" s="645"/>
      <c r="BW61" s="645"/>
      <c r="BX61" s="645"/>
      <c r="BY61" s="645"/>
      <c r="BZ61" s="645"/>
      <c r="CA61" s="645"/>
      <c r="CB61" s="645"/>
      <c r="CC61" s="645"/>
      <c r="CD61" s="645"/>
      <c r="CE61" s="645"/>
      <c r="CF61" s="645"/>
    </row>
    <row r="62" spans="1:84" s="663" customFormat="1" ht="15.75" customHeight="1">
      <c r="A62" s="635">
        <v>56</v>
      </c>
      <c r="B62" s="642"/>
      <c r="C62" s="474" t="s">
        <v>2208</v>
      </c>
      <c r="D62" s="474" t="s">
        <v>2178</v>
      </c>
      <c r="E62" s="633"/>
      <c r="F62" s="580"/>
      <c r="G62" s="660"/>
      <c r="H62" s="660"/>
      <c r="I62" s="660"/>
      <c r="J62" s="664" t="s">
        <v>2170</v>
      </c>
      <c r="K62" s="648">
        <v>1</v>
      </c>
      <c r="L62" s="898"/>
      <c r="M62" s="636"/>
      <c r="N62" s="636"/>
      <c r="O62" s="636"/>
      <c r="P62" s="636"/>
      <c r="Q62" s="898"/>
      <c r="R62" s="898"/>
      <c r="S62" s="636">
        <f t="shared" si="7"/>
        <v>6700</v>
      </c>
      <c r="T62" s="637"/>
      <c r="U62" s="636">
        <f t="shared" si="2"/>
        <v>6700</v>
      </c>
      <c r="V62" s="636" t="str">
        <f t="shared" si="3"/>
        <v/>
      </c>
      <c r="W62" s="522">
        <v>6700</v>
      </c>
      <c r="X62" s="633"/>
      <c r="Y62" s="645"/>
      <c r="Z62" s="645"/>
      <c r="AA62" s="645"/>
      <c r="AB62" s="645"/>
      <c r="AC62" s="645"/>
      <c r="AD62" s="645"/>
      <c r="AE62" s="645"/>
      <c r="AF62" s="645"/>
      <c r="AG62" s="645"/>
      <c r="AH62" s="645"/>
      <c r="AI62" s="645"/>
      <c r="AJ62" s="645"/>
      <c r="AK62" s="645"/>
      <c r="AL62" s="645"/>
      <c r="AM62" s="645"/>
      <c r="AN62" s="645"/>
      <c r="AO62" s="645"/>
      <c r="AP62" s="645"/>
      <c r="AQ62" s="645"/>
      <c r="AR62" s="645"/>
      <c r="AS62" s="645"/>
      <c r="AT62" s="645"/>
      <c r="AU62" s="645"/>
      <c r="AV62" s="645"/>
      <c r="AW62" s="645"/>
      <c r="AX62" s="645"/>
      <c r="AY62" s="645"/>
      <c r="AZ62" s="645"/>
      <c r="BA62" s="645"/>
      <c r="BB62" s="645"/>
      <c r="BC62" s="645"/>
      <c r="BD62" s="645"/>
      <c r="BE62" s="645"/>
      <c r="BF62" s="645"/>
      <c r="BG62" s="645"/>
      <c r="BH62" s="645"/>
      <c r="BI62" s="645"/>
      <c r="BJ62" s="645"/>
      <c r="BK62" s="645"/>
      <c r="BL62" s="645"/>
      <c r="BM62" s="645"/>
      <c r="BN62" s="645"/>
      <c r="BO62" s="645"/>
      <c r="BP62" s="645"/>
      <c r="BQ62" s="645"/>
      <c r="BR62" s="645"/>
      <c r="BS62" s="645"/>
      <c r="BT62" s="645"/>
      <c r="BU62" s="645"/>
      <c r="BV62" s="645"/>
      <c r="BW62" s="645"/>
      <c r="BX62" s="645"/>
      <c r="BY62" s="645"/>
      <c r="BZ62" s="645"/>
      <c r="CA62" s="645"/>
      <c r="CB62" s="645"/>
      <c r="CC62" s="645"/>
      <c r="CD62" s="645"/>
      <c r="CE62" s="645"/>
      <c r="CF62" s="645"/>
    </row>
    <row r="63" spans="1:84" s="663" customFormat="1" ht="15.75" customHeight="1">
      <c r="A63" s="635">
        <v>57</v>
      </c>
      <c r="B63" s="642"/>
      <c r="C63" s="474" t="s">
        <v>2209</v>
      </c>
      <c r="D63" s="474" t="s">
        <v>2201</v>
      </c>
      <c r="E63" s="633"/>
      <c r="F63" s="580"/>
      <c r="G63" s="660"/>
      <c r="H63" s="660"/>
      <c r="I63" s="660"/>
      <c r="J63" s="664" t="s">
        <v>2170</v>
      </c>
      <c r="K63" s="648">
        <v>1</v>
      </c>
      <c r="L63" s="898"/>
      <c r="M63" s="636"/>
      <c r="N63" s="636"/>
      <c r="O63" s="636"/>
      <c r="P63" s="636"/>
      <c r="Q63" s="898"/>
      <c r="R63" s="898"/>
      <c r="S63" s="636">
        <f t="shared" si="7"/>
        <v>3100</v>
      </c>
      <c r="T63" s="637"/>
      <c r="U63" s="636">
        <f t="shared" si="2"/>
        <v>3100</v>
      </c>
      <c r="V63" s="636" t="str">
        <f t="shared" si="3"/>
        <v/>
      </c>
      <c r="W63" s="522">
        <v>3100</v>
      </c>
      <c r="X63" s="633"/>
      <c r="Y63" s="645"/>
      <c r="Z63" s="645"/>
      <c r="AA63" s="645"/>
      <c r="AB63" s="645"/>
      <c r="AC63" s="645"/>
      <c r="AD63" s="645"/>
      <c r="AE63" s="645"/>
      <c r="AF63" s="645"/>
      <c r="AG63" s="645"/>
      <c r="AH63" s="645"/>
      <c r="AI63" s="645"/>
      <c r="AJ63" s="645"/>
      <c r="AK63" s="645"/>
      <c r="AL63" s="645"/>
      <c r="AM63" s="645"/>
      <c r="AN63" s="645"/>
      <c r="AO63" s="645"/>
      <c r="AP63" s="645"/>
      <c r="AQ63" s="645"/>
      <c r="AR63" s="645"/>
      <c r="AS63" s="645"/>
      <c r="AT63" s="645"/>
      <c r="AU63" s="645"/>
      <c r="AV63" s="645"/>
      <c r="AW63" s="645"/>
      <c r="AX63" s="645"/>
      <c r="AY63" s="645"/>
      <c r="AZ63" s="645"/>
      <c r="BA63" s="645"/>
      <c r="BB63" s="645"/>
      <c r="BC63" s="645"/>
      <c r="BD63" s="645"/>
      <c r="BE63" s="645"/>
      <c r="BF63" s="645"/>
      <c r="BG63" s="645"/>
      <c r="BH63" s="645"/>
      <c r="BI63" s="645"/>
      <c r="BJ63" s="645"/>
      <c r="BK63" s="645"/>
      <c r="BL63" s="645"/>
      <c r="BM63" s="645"/>
      <c r="BN63" s="645"/>
      <c r="BO63" s="645"/>
      <c r="BP63" s="645"/>
      <c r="BQ63" s="645"/>
      <c r="BR63" s="645"/>
      <c r="BS63" s="645"/>
      <c r="BT63" s="645"/>
      <c r="BU63" s="645"/>
      <c r="BV63" s="645"/>
      <c r="BW63" s="645"/>
      <c r="BX63" s="645"/>
      <c r="BY63" s="645"/>
      <c r="BZ63" s="645"/>
      <c r="CA63" s="645"/>
      <c r="CB63" s="645"/>
      <c r="CC63" s="645"/>
      <c r="CD63" s="645"/>
      <c r="CE63" s="645"/>
      <c r="CF63" s="645"/>
    </row>
    <row r="64" spans="1:84" s="663" customFormat="1" ht="15.75" customHeight="1">
      <c r="A64" s="635">
        <v>58</v>
      </c>
      <c r="B64" s="642"/>
      <c r="C64" s="474" t="s">
        <v>2210</v>
      </c>
      <c r="D64" s="474" t="s">
        <v>2180</v>
      </c>
      <c r="E64" s="633"/>
      <c r="F64" s="580"/>
      <c r="G64" s="660"/>
      <c r="H64" s="660"/>
      <c r="I64" s="660"/>
      <c r="J64" s="664" t="s">
        <v>2170</v>
      </c>
      <c r="K64" s="648">
        <v>1</v>
      </c>
      <c r="L64" s="898"/>
      <c r="M64" s="636"/>
      <c r="N64" s="636"/>
      <c r="O64" s="636"/>
      <c r="P64" s="636"/>
      <c r="Q64" s="898"/>
      <c r="R64" s="898"/>
      <c r="S64" s="636">
        <f t="shared" si="7"/>
        <v>3800</v>
      </c>
      <c r="T64" s="637"/>
      <c r="U64" s="636">
        <f t="shared" si="2"/>
        <v>3800</v>
      </c>
      <c r="V64" s="636" t="str">
        <f t="shared" si="3"/>
        <v/>
      </c>
      <c r="W64" s="522">
        <v>3800</v>
      </c>
      <c r="X64" s="633"/>
      <c r="Y64" s="645"/>
      <c r="Z64" s="645"/>
      <c r="AA64" s="645"/>
      <c r="AB64" s="645"/>
      <c r="AC64" s="645"/>
      <c r="AD64" s="645"/>
      <c r="AE64" s="645"/>
      <c r="AF64" s="645"/>
      <c r="AG64" s="645"/>
      <c r="AH64" s="645"/>
      <c r="AI64" s="645"/>
      <c r="AJ64" s="645"/>
      <c r="AK64" s="645"/>
      <c r="AL64" s="645"/>
      <c r="AM64" s="645"/>
      <c r="AN64" s="645"/>
      <c r="AO64" s="645"/>
      <c r="AP64" s="645"/>
      <c r="AQ64" s="645"/>
      <c r="AR64" s="645"/>
      <c r="AS64" s="645"/>
      <c r="AT64" s="645"/>
      <c r="AU64" s="645"/>
      <c r="AV64" s="645"/>
      <c r="AW64" s="645"/>
      <c r="AX64" s="645"/>
      <c r="AY64" s="645"/>
      <c r="AZ64" s="645"/>
      <c r="BA64" s="645"/>
      <c r="BB64" s="645"/>
      <c r="BC64" s="645"/>
      <c r="BD64" s="645"/>
      <c r="BE64" s="645"/>
      <c r="BF64" s="645"/>
      <c r="BG64" s="645"/>
      <c r="BH64" s="645"/>
      <c r="BI64" s="645"/>
      <c r="BJ64" s="645"/>
      <c r="BK64" s="645"/>
      <c r="BL64" s="645"/>
      <c r="BM64" s="645"/>
      <c r="BN64" s="645"/>
      <c r="BO64" s="645"/>
      <c r="BP64" s="645"/>
      <c r="BQ64" s="645"/>
      <c r="BR64" s="645"/>
      <c r="BS64" s="645"/>
      <c r="BT64" s="645"/>
      <c r="BU64" s="645"/>
      <c r="BV64" s="645"/>
      <c r="BW64" s="645"/>
      <c r="BX64" s="645"/>
      <c r="BY64" s="645"/>
      <c r="BZ64" s="645"/>
      <c r="CA64" s="645"/>
      <c r="CB64" s="645"/>
      <c r="CC64" s="645"/>
      <c r="CD64" s="645"/>
      <c r="CE64" s="645"/>
      <c r="CF64" s="645"/>
    </row>
    <row r="65" spans="1:84" s="663" customFormat="1" ht="15.75" customHeight="1">
      <c r="A65" s="635">
        <v>59</v>
      </c>
      <c r="B65" s="642"/>
      <c r="C65" s="474" t="s">
        <v>2211</v>
      </c>
      <c r="D65" s="474" t="s">
        <v>2178</v>
      </c>
      <c r="E65" s="633"/>
      <c r="F65" s="580"/>
      <c r="G65" s="660"/>
      <c r="H65" s="660"/>
      <c r="I65" s="660"/>
      <c r="J65" s="664" t="s">
        <v>2170</v>
      </c>
      <c r="K65" s="648">
        <v>1</v>
      </c>
      <c r="L65" s="898"/>
      <c r="M65" s="636"/>
      <c r="N65" s="636"/>
      <c r="O65" s="636"/>
      <c r="P65" s="636"/>
      <c r="Q65" s="898"/>
      <c r="R65" s="898"/>
      <c r="S65" s="636">
        <f t="shared" si="7"/>
        <v>6700</v>
      </c>
      <c r="T65" s="637"/>
      <c r="U65" s="636">
        <f t="shared" si="2"/>
        <v>6700</v>
      </c>
      <c r="V65" s="636" t="str">
        <f t="shared" si="3"/>
        <v/>
      </c>
      <c r="W65" s="522">
        <v>6700</v>
      </c>
      <c r="X65" s="633"/>
      <c r="Y65" s="645"/>
      <c r="Z65" s="645"/>
      <c r="AA65" s="645"/>
      <c r="AB65" s="645"/>
      <c r="AC65" s="645"/>
      <c r="AD65" s="645"/>
      <c r="AE65" s="645"/>
      <c r="AF65" s="645"/>
      <c r="AG65" s="645"/>
      <c r="AH65" s="645"/>
      <c r="AI65" s="645"/>
      <c r="AJ65" s="645"/>
      <c r="AK65" s="645"/>
      <c r="AL65" s="645"/>
      <c r="AM65" s="645"/>
      <c r="AN65" s="645"/>
      <c r="AO65" s="645"/>
      <c r="AP65" s="645"/>
      <c r="AQ65" s="645"/>
      <c r="AR65" s="645"/>
      <c r="AS65" s="645"/>
      <c r="AT65" s="645"/>
      <c r="AU65" s="645"/>
      <c r="AV65" s="645"/>
      <c r="AW65" s="645"/>
      <c r="AX65" s="645"/>
      <c r="AY65" s="645"/>
      <c r="AZ65" s="645"/>
      <c r="BA65" s="645"/>
      <c r="BB65" s="645"/>
      <c r="BC65" s="645"/>
      <c r="BD65" s="645"/>
      <c r="BE65" s="645"/>
      <c r="BF65" s="645"/>
      <c r="BG65" s="645"/>
      <c r="BH65" s="645"/>
      <c r="BI65" s="645"/>
      <c r="BJ65" s="645"/>
      <c r="BK65" s="645"/>
      <c r="BL65" s="645"/>
      <c r="BM65" s="645"/>
      <c r="BN65" s="645"/>
      <c r="BO65" s="645"/>
      <c r="BP65" s="645"/>
      <c r="BQ65" s="645"/>
      <c r="BR65" s="645"/>
      <c r="BS65" s="645"/>
      <c r="BT65" s="645"/>
      <c r="BU65" s="645"/>
      <c r="BV65" s="645"/>
      <c r="BW65" s="645"/>
      <c r="BX65" s="645"/>
      <c r="BY65" s="645"/>
      <c r="BZ65" s="645"/>
      <c r="CA65" s="645"/>
      <c r="CB65" s="645"/>
      <c r="CC65" s="645"/>
      <c r="CD65" s="645"/>
      <c r="CE65" s="645"/>
      <c r="CF65" s="645"/>
    </row>
    <row r="66" spans="1:84" s="663" customFormat="1" ht="15.75" customHeight="1">
      <c r="A66" s="635">
        <v>60</v>
      </c>
      <c r="B66" s="642"/>
      <c r="C66" s="474" t="s">
        <v>2212</v>
      </c>
      <c r="D66" s="474" t="s">
        <v>2178</v>
      </c>
      <c r="E66" s="633"/>
      <c r="F66" s="580"/>
      <c r="G66" s="660"/>
      <c r="H66" s="660"/>
      <c r="I66" s="660"/>
      <c r="J66" s="664" t="s">
        <v>2170</v>
      </c>
      <c r="K66" s="648">
        <v>1</v>
      </c>
      <c r="L66" s="898"/>
      <c r="M66" s="636"/>
      <c r="N66" s="636"/>
      <c r="O66" s="636"/>
      <c r="P66" s="636"/>
      <c r="Q66" s="898"/>
      <c r="R66" s="898"/>
      <c r="S66" s="636">
        <f t="shared" si="7"/>
        <v>6700</v>
      </c>
      <c r="T66" s="637"/>
      <c r="U66" s="636">
        <f t="shared" si="2"/>
        <v>6700</v>
      </c>
      <c r="V66" s="636" t="str">
        <f t="shared" si="3"/>
        <v/>
      </c>
      <c r="W66" s="522">
        <v>6700</v>
      </c>
      <c r="X66" s="633"/>
      <c r="Y66" s="645"/>
      <c r="Z66" s="645"/>
      <c r="AA66" s="645"/>
      <c r="AB66" s="645"/>
      <c r="AC66" s="645"/>
      <c r="AD66" s="645"/>
      <c r="AE66" s="645"/>
      <c r="AF66" s="645"/>
      <c r="AG66" s="645"/>
      <c r="AH66" s="645"/>
      <c r="AI66" s="645"/>
      <c r="AJ66" s="645"/>
      <c r="AK66" s="645"/>
      <c r="AL66" s="645"/>
      <c r="AM66" s="645"/>
      <c r="AN66" s="645"/>
      <c r="AO66" s="645"/>
      <c r="AP66" s="645"/>
      <c r="AQ66" s="645"/>
      <c r="AR66" s="645"/>
      <c r="AS66" s="645"/>
      <c r="AT66" s="645"/>
      <c r="AU66" s="645"/>
      <c r="AV66" s="645"/>
      <c r="AW66" s="645"/>
      <c r="AX66" s="645"/>
      <c r="AY66" s="645"/>
      <c r="AZ66" s="645"/>
      <c r="BA66" s="645"/>
      <c r="BB66" s="645"/>
      <c r="BC66" s="645"/>
      <c r="BD66" s="645"/>
      <c r="BE66" s="645"/>
      <c r="BF66" s="645"/>
      <c r="BG66" s="645"/>
      <c r="BH66" s="645"/>
      <c r="BI66" s="645"/>
      <c r="BJ66" s="645"/>
      <c r="BK66" s="645"/>
      <c r="BL66" s="645"/>
      <c r="BM66" s="645"/>
      <c r="BN66" s="645"/>
      <c r="BO66" s="645"/>
      <c r="BP66" s="645"/>
      <c r="BQ66" s="645"/>
      <c r="BR66" s="645"/>
      <c r="BS66" s="645"/>
      <c r="BT66" s="645"/>
      <c r="BU66" s="645"/>
      <c r="BV66" s="645"/>
      <c r="BW66" s="645"/>
      <c r="BX66" s="645"/>
      <c r="BY66" s="645"/>
      <c r="BZ66" s="645"/>
      <c r="CA66" s="645"/>
      <c r="CB66" s="645"/>
      <c r="CC66" s="645"/>
      <c r="CD66" s="645"/>
      <c r="CE66" s="645"/>
      <c r="CF66" s="645"/>
    </row>
    <row r="67" spans="1:84" s="663" customFormat="1" ht="15.75" customHeight="1">
      <c r="A67" s="635">
        <v>61</v>
      </c>
      <c r="B67" s="642"/>
      <c r="C67" s="474" t="s">
        <v>2213</v>
      </c>
      <c r="D67" s="474" t="s">
        <v>2194</v>
      </c>
      <c r="E67" s="633"/>
      <c r="F67" s="580"/>
      <c r="G67" s="660"/>
      <c r="H67" s="660"/>
      <c r="I67" s="660"/>
      <c r="J67" s="664" t="s">
        <v>2170</v>
      </c>
      <c r="K67" s="648">
        <v>1</v>
      </c>
      <c r="L67" s="898"/>
      <c r="M67" s="636"/>
      <c r="N67" s="636"/>
      <c r="O67" s="636"/>
      <c r="P67" s="636"/>
      <c r="Q67" s="898"/>
      <c r="R67" s="898"/>
      <c r="S67" s="636">
        <f t="shared" si="7"/>
        <v>6700</v>
      </c>
      <c r="T67" s="637"/>
      <c r="U67" s="636">
        <f t="shared" si="2"/>
        <v>6700</v>
      </c>
      <c r="V67" s="636" t="str">
        <f t="shared" si="3"/>
        <v/>
      </c>
      <c r="W67" s="522">
        <v>6700</v>
      </c>
      <c r="X67" s="633"/>
      <c r="Y67" s="645"/>
      <c r="Z67" s="645"/>
      <c r="AA67" s="645"/>
      <c r="AB67" s="645"/>
      <c r="AC67" s="645"/>
      <c r="AD67" s="645"/>
      <c r="AE67" s="645"/>
      <c r="AF67" s="645"/>
      <c r="AG67" s="645"/>
      <c r="AH67" s="645"/>
      <c r="AI67" s="645"/>
      <c r="AJ67" s="645"/>
      <c r="AK67" s="645"/>
      <c r="AL67" s="645"/>
      <c r="AM67" s="645"/>
      <c r="AN67" s="645"/>
      <c r="AO67" s="645"/>
      <c r="AP67" s="645"/>
      <c r="AQ67" s="645"/>
      <c r="AR67" s="645"/>
      <c r="AS67" s="645"/>
      <c r="AT67" s="645"/>
      <c r="AU67" s="645"/>
      <c r="AV67" s="645"/>
      <c r="AW67" s="645"/>
      <c r="AX67" s="645"/>
      <c r="AY67" s="645"/>
      <c r="AZ67" s="645"/>
      <c r="BA67" s="645"/>
      <c r="BB67" s="645"/>
      <c r="BC67" s="645"/>
      <c r="BD67" s="645"/>
      <c r="BE67" s="645"/>
      <c r="BF67" s="645"/>
      <c r="BG67" s="645"/>
      <c r="BH67" s="645"/>
      <c r="BI67" s="645"/>
      <c r="BJ67" s="645"/>
      <c r="BK67" s="645"/>
      <c r="BL67" s="645"/>
      <c r="BM67" s="645"/>
      <c r="BN67" s="645"/>
      <c r="BO67" s="645"/>
      <c r="BP67" s="645"/>
      <c r="BQ67" s="645"/>
      <c r="BR67" s="645"/>
      <c r="BS67" s="645"/>
      <c r="BT67" s="645"/>
      <c r="BU67" s="645"/>
      <c r="BV67" s="645"/>
      <c r="BW67" s="645"/>
      <c r="BX67" s="645"/>
      <c r="BY67" s="645"/>
      <c r="BZ67" s="645"/>
      <c r="CA67" s="645"/>
      <c r="CB67" s="645"/>
      <c r="CC67" s="645"/>
      <c r="CD67" s="645"/>
      <c r="CE67" s="645"/>
      <c r="CF67" s="645"/>
    </row>
    <row r="68" spans="1:84" s="663" customFormat="1" ht="15.75" customHeight="1">
      <c r="A68" s="635">
        <v>62</v>
      </c>
      <c r="B68" s="642"/>
      <c r="C68" s="474" t="s">
        <v>2214</v>
      </c>
      <c r="D68" s="474" t="s">
        <v>2180</v>
      </c>
      <c r="E68" s="633"/>
      <c r="F68" s="580"/>
      <c r="G68" s="660"/>
      <c r="H68" s="660"/>
      <c r="I68" s="660"/>
      <c r="J68" s="664" t="s">
        <v>2170</v>
      </c>
      <c r="K68" s="648">
        <v>1</v>
      </c>
      <c r="L68" s="898"/>
      <c r="M68" s="636"/>
      <c r="N68" s="636"/>
      <c r="O68" s="636"/>
      <c r="P68" s="636"/>
      <c r="Q68" s="898"/>
      <c r="R68" s="898"/>
      <c r="S68" s="636">
        <f t="shared" si="7"/>
        <v>3800</v>
      </c>
      <c r="T68" s="637"/>
      <c r="U68" s="636">
        <f t="shared" si="2"/>
        <v>3800</v>
      </c>
      <c r="V68" s="636" t="str">
        <f t="shared" si="3"/>
        <v/>
      </c>
      <c r="W68" s="522">
        <v>3800</v>
      </c>
      <c r="X68" s="633"/>
      <c r="Y68" s="645"/>
      <c r="Z68" s="645"/>
      <c r="AA68" s="645"/>
      <c r="AB68" s="645"/>
      <c r="AC68" s="645"/>
      <c r="AD68" s="645"/>
      <c r="AE68" s="645"/>
      <c r="AF68" s="645"/>
      <c r="AG68" s="645"/>
      <c r="AH68" s="645"/>
      <c r="AI68" s="645"/>
      <c r="AJ68" s="645"/>
      <c r="AK68" s="645"/>
      <c r="AL68" s="645"/>
      <c r="AM68" s="645"/>
      <c r="AN68" s="645"/>
      <c r="AO68" s="645"/>
      <c r="AP68" s="645"/>
      <c r="AQ68" s="645"/>
      <c r="AR68" s="645"/>
      <c r="AS68" s="645"/>
      <c r="AT68" s="645"/>
      <c r="AU68" s="645"/>
      <c r="AV68" s="645"/>
      <c r="AW68" s="645"/>
      <c r="AX68" s="645"/>
      <c r="AY68" s="645"/>
      <c r="AZ68" s="645"/>
      <c r="BA68" s="645"/>
      <c r="BB68" s="645"/>
      <c r="BC68" s="645"/>
      <c r="BD68" s="645"/>
      <c r="BE68" s="645"/>
      <c r="BF68" s="645"/>
      <c r="BG68" s="645"/>
      <c r="BH68" s="645"/>
      <c r="BI68" s="645"/>
      <c r="BJ68" s="645"/>
      <c r="BK68" s="645"/>
      <c r="BL68" s="645"/>
      <c r="BM68" s="645"/>
      <c r="BN68" s="645"/>
      <c r="BO68" s="645"/>
      <c r="BP68" s="645"/>
      <c r="BQ68" s="645"/>
      <c r="BR68" s="645"/>
      <c r="BS68" s="645"/>
      <c r="BT68" s="645"/>
      <c r="BU68" s="645"/>
      <c r="BV68" s="645"/>
      <c r="BW68" s="645"/>
      <c r="BX68" s="645"/>
      <c r="BY68" s="645"/>
      <c r="BZ68" s="645"/>
      <c r="CA68" s="645"/>
      <c r="CB68" s="645"/>
      <c r="CC68" s="645"/>
      <c r="CD68" s="645"/>
      <c r="CE68" s="645"/>
      <c r="CF68" s="645"/>
    </row>
    <row r="69" spans="1:84" s="663" customFormat="1" ht="15.75" customHeight="1">
      <c r="A69" s="635">
        <v>63</v>
      </c>
      <c r="B69" s="642"/>
      <c r="C69" s="474" t="s">
        <v>2215</v>
      </c>
      <c r="D69" s="474" t="s">
        <v>2201</v>
      </c>
      <c r="E69" s="633"/>
      <c r="F69" s="580"/>
      <c r="G69" s="660"/>
      <c r="H69" s="660"/>
      <c r="I69" s="660"/>
      <c r="J69" s="664" t="s">
        <v>2170</v>
      </c>
      <c r="K69" s="648">
        <v>1</v>
      </c>
      <c r="L69" s="898"/>
      <c r="M69" s="636"/>
      <c r="N69" s="636"/>
      <c r="O69" s="636"/>
      <c r="P69" s="636"/>
      <c r="Q69" s="898"/>
      <c r="R69" s="898"/>
      <c r="S69" s="636">
        <f t="shared" si="7"/>
        <v>3100</v>
      </c>
      <c r="T69" s="637"/>
      <c r="U69" s="636">
        <f t="shared" si="2"/>
        <v>3100</v>
      </c>
      <c r="V69" s="636" t="str">
        <f t="shared" si="3"/>
        <v/>
      </c>
      <c r="W69" s="522">
        <v>3100</v>
      </c>
      <c r="X69" s="633"/>
      <c r="Y69" s="645"/>
      <c r="Z69" s="645"/>
      <c r="AA69" s="645"/>
      <c r="AB69" s="645"/>
      <c r="AC69" s="645"/>
      <c r="AD69" s="645"/>
      <c r="AE69" s="645"/>
      <c r="AF69" s="645"/>
      <c r="AG69" s="645"/>
      <c r="AH69" s="645"/>
      <c r="AI69" s="645"/>
      <c r="AJ69" s="645"/>
      <c r="AK69" s="645"/>
      <c r="AL69" s="645"/>
      <c r="AM69" s="645"/>
      <c r="AN69" s="645"/>
      <c r="AO69" s="645"/>
      <c r="AP69" s="645"/>
      <c r="AQ69" s="645"/>
      <c r="AR69" s="645"/>
      <c r="AS69" s="645"/>
      <c r="AT69" s="645"/>
      <c r="AU69" s="645"/>
      <c r="AV69" s="645"/>
      <c r="AW69" s="645"/>
      <c r="AX69" s="645"/>
      <c r="AY69" s="645"/>
      <c r="AZ69" s="645"/>
      <c r="BA69" s="645"/>
      <c r="BB69" s="645"/>
      <c r="BC69" s="645"/>
      <c r="BD69" s="645"/>
      <c r="BE69" s="645"/>
      <c r="BF69" s="645"/>
      <c r="BG69" s="645"/>
      <c r="BH69" s="645"/>
      <c r="BI69" s="645"/>
      <c r="BJ69" s="645"/>
      <c r="BK69" s="645"/>
      <c r="BL69" s="645"/>
      <c r="BM69" s="645"/>
      <c r="BN69" s="645"/>
      <c r="BO69" s="645"/>
      <c r="BP69" s="645"/>
      <c r="BQ69" s="645"/>
      <c r="BR69" s="645"/>
      <c r="BS69" s="645"/>
      <c r="BT69" s="645"/>
      <c r="BU69" s="645"/>
      <c r="BV69" s="645"/>
      <c r="BW69" s="645"/>
      <c r="BX69" s="645"/>
      <c r="BY69" s="645"/>
      <c r="BZ69" s="645"/>
      <c r="CA69" s="645"/>
      <c r="CB69" s="645"/>
      <c r="CC69" s="645"/>
      <c r="CD69" s="645"/>
      <c r="CE69" s="645"/>
      <c r="CF69" s="645"/>
    </row>
    <row r="70" spans="1:84" s="663" customFormat="1" ht="15.75" customHeight="1">
      <c r="A70" s="635">
        <v>64</v>
      </c>
      <c r="B70" s="642"/>
      <c r="C70" s="474" t="s">
        <v>2216</v>
      </c>
      <c r="D70" s="474" t="s">
        <v>2201</v>
      </c>
      <c r="E70" s="633"/>
      <c r="F70" s="580"/>
      <c r="G70" s="660"/>
      <c r="H70" s="660"/>
      <c r="I70" s="660"/>
      <c r="J70" s="664" t="s">
        <v>2170</v>
      </c>
      <c r="K70" s="648">
        <v>1</v>
      </c>
      <c r="L70" s="898"/>
      <c r="M70" s="636"/>
      <c r="N70" s="636"/>
      <c r="O70" s="636"/>
      <c r="P70" s="636"/>
      <c r="Q70" s="898"/>
      <c r="R70" s="898"/>
      <c r="S70" s="636">
        <f t="shared" si="7"/>
        <v>3100</v>
      </c>
      <c r="T70" s="637"/>
      <c r="U70" s="636">
        <f t="shared" si="2"/>
        <v>3100</v>
      </c>
      <c r="V70" s="636" t="str">
        <f t="shared" si="3"/>
        <v/>
      </c>
      <c r="W70" s="522">
        <v>3100</v>
      </c>
      <c r="X70" s="633"/>
      <c r="Y70" s="645"/>
      <c r="Z70" s="645"/>
      <c r="AA70" s="645"/>
      <c r="AB70" s="645"/>
      <c r="AC70" s="645"/>
      <c r="AD70" s="645"/>
      <c r="AE70" s="645"/>
      <c r="AF70" s="645"/>
      <c r="AG70" s="645"/>
      <c r="AH70" s="645"/>
      <c r="AI70" s="645"/>
      <c r="AJ70" s="645"/>
      <c r="AK70" s="645"/>
      <c r="AL70" s="645"/>
      <c r="AM70" s="645"/>
      <c r="AN70" s="645"/>
      <c r="AO70" s="645"/>
      <c r="AP70" s="645"/>
      <c r="AQ70" s="645"/>
      <c r="AR70" s="645"/>
      <c r="AS70" s="645"/>
      <c r="AT70" s="645"/>
      <c r="AU70" s="645"/>
      <c r="AV70" s="645"/>
      <c r="AW70" s="645"/>
      <c r="AX70" s="645"/>
      <c r="AY70" s="645"/>
      <c r="AZ70" s="645"/>
      <c r="BA70" s="645"/>
      <c r="BB70" s="645"/>
      <c r="BC70" s="645"/>
      <c r="BD70" s="645"/>
      <c r="BE70" s="645"/>
      <c r="BF70" s="645"/>
      <c r="BG70" s="645"/>
      <c r="BH70" s="645"/>
      <c r="BI70" s="645"/>
      <c r="BJ70" s="645"/>
      <c r="BK70" s="645"/>
      <c r="BL70" s="645"/>
      <c r="BM70" s="645"/>
      <c r="BN70" s="645"/>
      <c r="BO70" s="645"/>
      <c r="BP70" s="645"/>
      <c r="BQ70" s="645"/>
      <c r="BR70" s="645"/>
      <c r="BS70" s="645"/>
      <c r="BT70" s="645"/>
      <c r="BU70" s="645"/>
      <c r="BV70" s="645"/>
      <c r="BW70" s="645"/>
      <c r="BX70" s="645"/>
      <c r="BY70" s="645"/>
      <c r="BZ70" s="645"/>
      <c r="CA70" s="645"/>
      <c r="CB70" s="645"/>
      <c r="CC70" s="645"/>
      <c r="CD70" s="645"/>
      <c r="CE70" s="645"/>
      <c r="CF70" s="645"/>
    </row>
    <row r="71" spans="1:84" s="663" customFormat="1" ht="15.75" customHeight="1">
      <c r="A71" s="635">
        <v>65</v>
      </c>
      <c r="B71" s="642"/>
      <c r="C71" s="474" t="s">
        <v>2217</v>
      </c>
      <c r="D71" s="474" t="s">
        <v>2180</v>
      </c>
      <c r="E71" s="633"/>
      <c r="F71" s="580"/>
      <c r="G71" s="660"/>
      <c r="H71" s="660"/>
      <c r="I71" s="660"/>
      <c r="J71" s="664" t="s">
        <v>2170</v>
      </c>
      <c r="K71" s="648">
        <v>1</v>
      </c>
      <c r="L71" s="898"/>
      <c r="M71" s="636"/>
      <c r="N71" s="636"/>
      <c r="O71" s="636"/>
      <c r="P71" s="636"/>
      <c r="Q71" s="898"/>
      <c r="R71" s="898"/>
      <c r="S71" s="636">
        <f t="shared" si="7"/>
        <v>3800</v>
      </c>
      <c r="T71" s="637"/>
      <c r="U71" s="636">
        <f t="shared" si="2"/>
        <v>3800</v>
      </c>
      <c r="V71" s="636" t="str">
        <f t="shared" si="3"/>
        <v/>
      </c>
      <c r="W71" s="522">
        <v>3800</v>
      </c>
      <c r="X71" s="633"/>
      <c r="Y71" s="645"/>
      <c r="Z71" s="645"/>
      <c r="AA71" s="645"/>
      <c r="AB71" s="645"/>
      <c r="AC71" s="645"/>
      <c r="AD71" s="645"/>
      <c r="AE71" s="645"/>
      <c r="AF71" s="645"/>
      <c r="AG71" s="645"/>
      <c r="AH71" s="645"/>
      <c r="AI71" s="645"/>
      <c r="AJ71" s="645"/>
      <c r="AK71" s="645"/>
      <c r="AL71" s="645"/>
      <c r="AM71" s="645"/>
      <c r="AN71" s="645"/>
      <c r="AO71" s="645"/>
      <c r="AP71" s="645"/>
      <c r="AQ71" s="645"/>
      <c r="AR71" s="645"/>
      <c r="AS71" s="645"/>
      <c r="AT71" s="645"/>
      <c r="AU71" s="645"/>
      <c r="AV71" s="645"/>
      <c r="AW71" s="645"/>
      <c r="AX71" s="645"/>
      <c r="AY71" s="645"/>
      <c r="AZ71" s="645"/>
      <c r="BA71" s="645"/>
      <c r="BB71" s="645"/>
      <c r="BC71" s="645"/>
      <c r="BD71" s="645"/>
      <c r="BE71" s="645"/>
      <c r="BF71" s="645"/>
      <c r="BG71" s="645"/>
      <c r="BH71" s="645"/>
      <c r="BI71" s="645"/>
      <c r="BJ71" s="645"/>
      <c r="BK71" s="645"/>
      <c r="BL71" s="645"/>
      <c r="BM71" s="645"/>
      <c r="BN71" s="645"/>
      <c r="BO71" s="645"/>
      <c r="BP71" s="645"/>
      <c r="BQ71" s="645"/>
      <c r="BR71" s="645"/>
      <c r="BS71" s="645"/>
      <c r="BT71" s="645"/>
      <c r="BU71" s="645"/>
      <c r="BV71" s="645"/>
      <c r="BW71" s="645"/>
      <c r="BX71" s="645"/>
      <c r="BY71" s="645"/>
      <c r="BZ71" s="645"/>
      <c r="CA71" s="645"/>
      <c r="CB71" s="645"/>
      <c r="CC71" s="645"/>
      <c r="CD71" s="645"/>
      <c r="CE71" s="645"/>
      <c r="CF71" s="645"/>
    </row>
    <row r="72" spans="1:84" s="663" customFormat="1" ht="15.75" customHeight="1">
      <c r="A72" s="635">
        <v>66</v>
      </c>
      <c r="B72" s="642"/>
      <c r="C72" s="474" t="s">
        <v>2218</v>
      </c>
      <c r="D72" s="474" t="s">
        <v>2201</v>
      </c>
      <c r="E72" s="633"/>
      <c r="F72" s="580"/>
      <c r="G72" s="660"/>
      <c r="H72" s="660"/>
      <c r="I72" s="660"/>
      <c r="J72" s="664" t="s">
        <v>2170</v>
      </c>
      <c r="K72" s="648">
        <v>1</v>
      </c>
      <c r="L72" s="898"/>
      <c r="M72" s="636"/>
      <c r="N72" s="636"/>
      <c r="O72" s="636"/>
      <c r="P72" s="636"/>
      <c r="Q72" s="898"/>
      <c r="R72" s="898"/>
      <c r="S72" s="636">
        <f t="shared" si="7"/>
        <v>3100</v>
      </c>
      <c r="T72" s="637"/>
      <c r="U72" s="636">
        <f t="shared" ref="U72:U135" si="8">S72</f>
        <v>3100</v>
      </c>
      <c r="V72" s="636" t="str">
        <f t="shared" ref="V72:V135" si="9">IF(R72=0,"",(U72-R72)/R72*100)</f>
        <v/>
      </c>
      <c r="W72" s="522">
        <v>3100</v>
      </c>
      <c r="X72" s="633"/>
      <c r="Y72" s="645"/>
      <c r="Z72" s="645"/>
      <c r="AA72" s="645"/>
      <c r="AB72" s="645"/>
      <c r="AC72" s="645"/>
      <c r="AD72" s="645"/>
      <c r="AE72" s="645"/>
      <c r="AF72" s="645"/>
      <c r="AG72" s="645"/>
      <c r="AH72" s="645"/>
      <c r="AI72" s="645"/>
      <c r="AJ72" s="645"/>
      <c r="AK72" s="645"/>
      <c r="AL72" s="645"/>
      <c r="AM72" s="645"/>
      <c r="AN72" s="645"/>
      <c r="AO72" s="645"/>
      <c r="AP72" s="645"/>
      <c r="AQ72" s="645"/>
      <c r="AR72" s="645"/>
      <c r="AS72" s="645"/>
      <c r="AT72" s="645"/>
      <c r="AU72" s="645"/>
      <c r="AV72" s="645"/>
      <c r="AW72" s="645"/>
      <c r="AX72" s="645"/>
      <c r="AY72" s="645"/>
      <c r="AZ72" s="645"/>
      <c r="BA72" s="645"/>
      <c r="BB72" s="645"/>
      <c r="BC72" s="645"/>
      <c r="BD72" s="645"/>
      <c r="BE72" s="645"/>
      <c r="BF72" s="645"/>
      <c r="BG72" s="645"/>
      <c r="BH72" s="645"/>
      <c r="BI72" s="645"/>
      <c r="BJ72" s="645"/>
      <c r="BK72" s="645"/>
      <c r="BL72" s="645"/>
      <c r="BM72" s="645"/>
      <c r="BN72" s="645"/>
      <c r="BO72" s="645"/>
      <c r="BP72" s="645"/>
      <c r="BQ72" s="645"/>
      <c r="BR72" s="645"/>
      <c r="BS72" s="645"/>
      <c r="BT72" s="645"/>
      <c r="BU72" s="645"/>
      <c r="BV72" s="645"/>
      <c r="BW72" s="645"/>
      <c r="BX72" s="645"/>
      <c r="BY72" s="645"/>
      <c r="BZ72" s="645"/>
      <c r="CA72" s="645"/>
      <c r="CB72" s="645"/>
      <c r="CC72" s="645"/>
      <c r="CD72" s="645"/>
      <c r="CE72" s="645"/>
      <c r="CF72" s="645"/>
    </row>
    <row r="73" spans="1:84" s="663" customFormat="1" ht="15.75" customHeight="1">
      <c r="A73" s="635">
        <v>67</v>
      </c>
      <c r="B73" s="642"/>
      <c r="C73" s="474" t="s">
        <v>2219</v>
      </c>
      <c r="D73" s="474" t="s">
        <v>2178</v>
      </c>
      <c r="E73" s="633"/>
      <c r="F73" s="580"/>
      <c r="G73" s="660"/>
      <c r="H73" s="660"/>
      <c r="I73" s="660"/>
      <c r="J73" s="664" t="s">
        <v>2170</v>
      </c>
      <c r="K73" s="648">
        <v>1</v>
      </c>
      <c r="L73" s="898"/>
      <c r="M73" s="636"/>
      <c r="N73" s="636"/>
      <c r="O73" s="636"/>
      <c r="P73" s="636"/>
      <c r="Q73" s="898"/>
      <c r="R73" s="898"/>
      <c r="S73" s="636">
        <f t="shared" si="7"/>
        <v>6700</v>
      </c>
      <c r="T73" s="637"/>
      <c r="U73" s="636">
        <f t="shared" si="8"/>
        <v>6700</v>
      </c>
      <c r="V73" s="636" t="str">
        <f t="shared" si="9"/>
        <v/>
      </c>
      <c r="W73" s="522">
        <v>6700</v>
      </c>
      <c r="X73" s="633"/>
      <c r="Y73" s="645"/>
      <c r="Z73" s="645"/>
      <c r="AA73" s="645"/>
      <c r="AB73" s="645"/>
      <c r="AC73" s="645"/>
      <c r="AD73" s="645"/>
      <c r="AE73" s="645"/>
      <c r="AF73" s="645"/>
      <c r="AG73" s="645"/>
      <c r="AH73" s="645"/>
      <c r="AI73" s="645"/>
      <c r="AJ73" s="645"/>
      <c r="AK73" s="645"/>
      <c r="AL73" s="645"/>
      <c r="AM73" s="645"/>
      <c r="AN73" s="645"/>
      <c r="AO73" s="645"/>
      <c r="AP73" s="645"/>
      <c r="AQ73" s="645"/>
      <c r="AR73" s="645"/>
      <c r="AS73" s="645"/>
      <c r="AT73" s="645"/>
      <c r="AU73" s="645"/>
      <c r="AV73" s="645"/>
      <c r="AW73" s="645"/>
      <c r="AX73" s="645"/>
      <c r="AY73" s="645"/>
      <c r="AZ73" s="645"/>
      <c r="BA73" s="645"/>
      <c r="BB73" s="645"/>
      <c r="BC73" s="645"/>
      <c r="BD73" s="645"/>
      <c r="BE73" s="645"/>
      <c r="BF73" s="645"/>
      <c r="BG73" s="645"/>
      <c r="BH73" s="645"/>
      <c r="BI73" s="645"/>
      <c r="BJ73" s="645"/>
      <c r="BK73" s="645"/>
      <c r="BL73" s="645"/>
      <c r="BM73" s="645"/>
      <c r="BN73" s="645"/>
      <c r="BO73" s="645"/>
      <c r="BP73" s="645"/>
      <c r="BQ73" s="645"/>
      <c r="BR73" s="645"/>
      <c r="BS73" s="645"/>
      <c r="BT73" s="645"/>
      <c r="BU73" s="645"/>
      <c r="BV73" s="645"/>
      <c r="BW73" s="645"/>
      <c r="BX73" s="645"/>
      <c r="BY73" s="645"/>
      <c r="BZ73" s="645"/>
      <c r="CA73" s="645"/>
      <c r="CB73" s="645"/>
      <c r="CC73" s="645"/>
      <c r="CD73" s="645"/>
      <c r="CE73" s="645"/>
      <c r="CF73" s="645"/>
    </row>
    <row r="74" spans="1:84" s="663" customFormat="1" ht="15.75" customHeight="1">
      <c r="A74" s="635">
        <v>68</v>
      </c>
      <c r="B74" s="642"/>
      <c r="C74" s="474" t="s">
        <v>2220</v>
      </c>
      <c r="D74" s="474" t="s">
        <v>2180</v>
      </c>
      <c r="E74" s="633"/>
      <c r="F74" s="580"/>
      <c r="G74" s="660"/>
      <c r="H74" s="660"/>
      <c r="I74" s="660"/>
      <c r="J74" s="664" t="s">
        <v>2170</v>
      </c>
      <c r="K74" s="648">
        <v>1</v>
      </c>
      <c r="L74" s="898"/>
      <c r="M74" s="636"/>
      <c r="N74" s="636"/>
      <c r="O74" s="636"/>
      <c r="P74" s="636"/>
      <c r="Q74" s="898"/>
      <c r="R74" s="898"/>
      <c r="S74" s="636">
        <f t="shared" si="7"/>
        <v>3800</v>
      </c>
      <c r="T74" s="637"/>
      <c r="U74" s="636">
        <f t="shared" si="8"/>
        <v>3800</v>
      </c>
      <c r="V74" s="636" t="str">
        <f t="shared" si="9"/>
        <v/>
      </c>
      <c r="W74" s="522">
        <v>3800</v>
      </c>
      <c r="X74" s="633"/>
      <c r="Y74" s="645"/>
      <c r="Z74" s="645"/>
      <c r="AA74" s="645"/>
      <c r="AB74" s="645"/>
      <c r="AC74" s="645"/>
      <c r="AD74" s="645"/>
      <c r="AE74" s="645"/>
      <c r="AF74" s="645"/>
      <c r="AG74" s="645"/>
      <c r="AH74" s="645"/>
      <c r="AI74" s="645"/>
      <c r="AJ74" s="645"/>
      <c r="AK74" s="645"/>
      <c r="AL74" s="645"/>
      <c r="AM74" s="645"/>
      <c r="AN74" s="645"/>
      <c r="AO74" s="645"/>
      <c r="AP74" s="645"/>
      <c r="AQ74" s="645"/>
      <c r="AR74" s="645"/>
      <c r="AS74" s="645"/>
      <c r="AT74" s="645"/>
      <c r="AU74" s="645"/>
      <c r="AV74" s="645"/>
      <c r="AW74" s="645"/>
      <c r="AX74" s="645"/>
      <c r="AY74" s="645"/>
      <c r="AZ74" s="645"/>
      <c r="BA74" s="645"/>
      <c r="BB74" s="645"/>
      <c r="BC74" s="645"/>
      <c r="BD74" s="645"/>
      <c r="BE74" s="645"/>
      <c r="BF74" s="645"/>
      <c r="BG74" s="645"/>
      <c r="BH74" s="645"/>
      <c r="BI74" s="645"/>
      <c r="BJ74" s="645"/>
      <c r="BK74" s="645"/>
      <c r="BL74" s="645"/>
      <c r="BM74" s="645"/>
      <c r="BN74" s="645"/>
      <c r="BO74" s="645"/>
      <c r="BP74" s="645"/>
      <c r="BQ74" s="645"/>
      <c r="BR74" s="645"/>
      <c r="BS74" s="645"/>
      <c r="BT74" s="645"/>
      <c r="BU74" s="645"/>
      <c r="BV74" s="645"/>
      <c r="BW74" s="645"/>
      <c r="BX74" s="645"/>
      <c r="BY74" s="645"/>
      <c r="BZ74" s="645"/>
      <c r="CA74" s="645"/>
      <c r="CB74" s="645"/>
      <c r="CC74" s="645"/>
      <c r="CD74" s="645"/>
      <c r="CE74" s="645"/>
      <c r="CF74" s="645"/>
    </row>
    <row r="75" spans="1:84" s="663" customFormat="1" ht="15.75" customHeight="1">
      <c r="A75" s="635">
        <v>69</v>
      </c>
      <c r="B75" s="642"/>
      <c r="C75" s="474" t="s">
        <v>2221</v>
      </c>
      <c r="D75" s="474" t="s">
        <v>2180</v>
      </c>
      <c r="E75" s="633"/>
      <c r="F75" s="580"/>
      <c r="G75" s="660"/>
      <c r="H75" s="660"/>
      <c r="I75" s="660"/>
      <c r="J75" s="664" t="s">
        <v>2170</v>
      </c>
      <c r="K75" s="648">
        <v>1</v>
      </c>
      <c r="L75" s="898"/>
      <c r="M75" s="636"/>
      <c r="N75" s="636"/>
      <c r="O75" s="636"/>
      <c r="P75" s="636"/>
      <c r="Q75" s="898"/>
      <c r="R75" s="898"/>
      <c r="S75" s="636">
        <f t="shared" si="7"/>
        <v>3800</v>
      </c>
      <c r="T75" s="637"/>
      <c r="U75" s="636">
        <f t="shared" si="8"/>
        <v>3800</v>
      </c>
      <c r="V75" s="636" t="str">
        <f t="shared" si="9"/>
        <v/>
      </c>
      <c r="W75" s="522">
        <v>3800</v>
      </c>
      <c r="X75" s="633"/>
      <c r="Y75" s="645"/>
      <c r="Z75" s="645"/>
      <c r="AA75" s="645"/>
      <c r="AB75" s="645"/>
      <c r="AC75" s="645"/>
      <c r="AD75" s="645"/>
      <c r="AE75" s="645"/>
      <c r="AF75" s="645"/>
      <c r="AG75" s="645"/>
      <c r="AH75" s="645"/>
      <c r="AI75" s="645"/>
      <c r="AJ75" s="645"/>
      <c r="AK75" s="645"/>
      <c r="AL75" s="645"/>
      <c r="AM75" s="645"/>
      <c r="AN75" s="645"/>
      <c r="AO75" s="645"/>
      <c r="AP75" s="645"/>
      <c r="AQ75" s="645"/>
      <c r="AR75" s="645"/>
      <c r="AS75" s="645"/>
      <c r="AT75" s="645"/>
      <c r="AU75" s="645"/>
      <c r="AV75" s="645"/>
      <c r="AW75" s="645"/>
      <c r="AX75" s="645"/>
      <c r="AY75" s="645"/>
      <c r="AZ75" s="645"/>
      <c r="BA75" s="645"/>
      <c r="BB75" s="645"/>
      <c r="BC75" s="645"/>
      <c r="BD75" s="645"/>
      <c r="BE75" s="645"/>
      <c r="BF75" s="645"/>
      <c r="BG75" s="645"/>
      <c r="BH75" s="645"/>
      <c r="BI75" s="645"/>
      <c r="BJ75" s="645"/>
      <c r="BK75" s="645"/>
      <c r="BL75" s="645"/>
      <c r="BM75" s="645"/>
      <c r="BN75" s="645"/>
      <c r="BO75" s="645"/>
      <c r="BP75" s="645"/>
      <c r="BQ75" s="645"/>
      <c r="BR75" s="645"/>
      <c r="BS75" s="645"/>
      <c r="BT75" s="645"/>
      <c r="BU75" s="645"/>
      <c r="BV75" s="645"/>
      <c r="BW75" s="645"/>
      <c r="BX75" s="645"/>
      <c r="BY75" s="645"/>
      <c r="BZ75" s="645"/>
      <c r="CA75" s="645"/>
      <c r="CB75" s="645"/>
      <c r="CC75" s="645"/>
      <c r="CD75" s="645"/>
      <c r="CE75" s="645"/>
      <c r="CF75" s="645"/>
    </row>
    <row r="76" spans="1:84" s="663" customFormat="1" ht="15.75" customHeight="1">
      <c r="A76" s="635">
        <v>70</v>
      </c>
      <c r="B76" s="642"/>
      <c r="C76" s="474" t="s">
        <v>2222</v>
      </c>
      <c r="D76" s="474" t="s">
        <v>2178</v>
      </c>
      <c r="E76" s="633"/>
      <c r="F76" s="580"/>
      <c r="G76" s="660"/>
      <c r="H76" s="660"/>
      <c r="I76" s="660"/>
      <c r="J76" s="664" t="s">
        <v>2170</v>
      </c>
      <c r="K76" s="648">
        <v>1</v>
      </c>
      <c r="L76" s="898"/>
      <c r="M76" s="636"/>
      <c r="N76" s="636"/>
      <c r="O76" s="636"/>
      <c r="P76" s="636"/>
      <c r="Q76" s="898"/>
      <c r="R76" s="898"/>
      <c r="S76" s="636">
        <f t="shared" si="7"/>
        <v>6700</v>
      </c>
      <c r="T76" s="637"/>
      <c r="U76" s="636">
        <f t="shared" si="8"/>
        <v>6700</v>
      </c>
      <c r="V76" s="636" t="str">
        <f t="shared" si="9"/>
        <v/>
      </c>
      <c r="W76" s="522">
        <v>6700</v>
      </c>
      <c r="X76" s="633"/>
      <c r="Y76" s="645"/>
      <c r="Z76" s="645"/>
      <c r="AA76" s="645"/>
      <c r="AB76" s="645"/>
      <c r="AC76" s="645"/>
      <c r="AD76" s="645"/>
      <c r="AE76" s="645"/>
      <c r="AF76" s="645"/>
      <c r="AG76" s="645"/>
      <c r="AH76" s="645"/>
      <c r="AI76" s="645"/>
      <c r="AJ76" s="645"/>
      <c r="AK76" s="645"/>
      <c r="AL76" s="645"/>
      <c r="AM76" s="645"/>
      <c r="AN76" s="645"/>
      <c r="AO76" s="645"/>
      <c r="AP76" s="645"/>
      <c r="AQ76" s="645"/>
      <c r="AR76" s="645"/>
      <c r="AS76" s="645"/>
      <c r="AT76" s="645"/>
      <c r="AU76" s="645"/>
      <c r="AV76" s="645"/>
      <c r="AW76" s="645"/>
      <c r="AX76" s="645"/>
      <c r="AY76" s="645"/>
      <c r="AZ76" s="645"/>
      <c r="BA76" s="645"/>
      <c r="BB76" s="645"/>
      <c r="BC76" s="645"/>
      <c r="BD76" s="645"/>
      <c r="BE76" s="645"/>
      <c r="BF76" s="645"/>
      <c r="BG76" s="645"/>
      <c r="BH76" s="645"/>
      <c r="BI76" s="645"/>
      <c r="BJ76" s="645"/>
      <c r="BK76" s="645"/>
      <c r="BL76" s="645"/>
      <c r="BM76" s="645"/>
      <c r="BN76" s="645"/>
      <c r="BO76" s="645"/>
      <c r="BP76" s="645"/>
      <c r="BQ76" s="645"/>
      <c r="BR76" s="645"/>
      <c r="BS76" s="645"/>
      <c r="BT76" s="645"/>
      <c r="BU76" s="645"/>
      <c r="BV76" s="645"/>
      <c r="BW76" s="645"/>
      <c r="BX76" s="645"/>
      <c r="BY76" s="645"/>
      <c r="BZ76" s="645"/>
      <c r="CA76" s="645"/>
      <c r="CB76" s="645"/>
      <c r="CC76" s="645"/>
      <c r="CD76" s="645"/>
      <c r="CE76" s="645"/>
      <c r="CF76" s="645"/>
    </row>
    <row r="77" spans="1:84" s="663" customFormat="1" ht="15.75" customHeight="1">
      <c r="A77" s="635">
        <v>71</v>
      </c>
      <c r="B77" s="642"/>
      <c r="C77" s="474" t="s">
        <v>2223</v>
      </c>
      <c r="D77" s="474" t="s">
        <v>2178</v>
      </c>
      <c r="E77" s="633"/>
      <c r="F77" s="580"/>
      <c r="G77" s="660"/>
      <c r="H77" s="660"/>
      <c r="I77" s="660"/>
      <c r="J77" s="664" t="s">
        <v>2170</v>
      </c>
      <c r="K77" s="648">
        <v>1</v>
      </c>
      <c r="L77" s="898"/>
      <c r="M77" s="636"/>
      <c r="N77" s="636"/>
      <c r="O77" s="636"/>
      <c r="P77" s="636"/>
      <c r="Q77" s="898"/>
      <c r="R77" s="898"/>
      <c r="S77" s="636">
        <f t="shared" si="7"/>
        <v>5800</v>
      </c>
      <c r="T77" s="637"/>
      <c r="U77" s="636">
        <f t="shared" si="8"/>
        <v>5800</v>
      </c>
      <c r="V77" s="636" t="str">
        <f t="shared" si="9"/>
        <v/>
      </c>
      <c r="W77" s="522">
        <v>5800</v>
      </c>
      <c r="X77" s="633"/>
      <c r="Y77" s="645"/>
      <c r="Z77" s="645"/>
      <c r="AA77" s="645"/>
      <c r="AB77" s="645"/>
      <c r="AC77" s="645"/>
      <c r="AD77" s="645"/>
      <c r="AE77" s="645"/>
      <c r="AF77" s="645"/>
      <c r="AG77" s="645"/>
      <c r="AH77" s="645"/>
      <c r="AI77" s="645"/>
      <c r="AJ77" s="645"/>
      <c r="AK77" s="645"/>
      <c r="AL77" s="645"/>
      <c r="AM77" s="645"/>
      <c r="AN77" s="645"/>
      <c r="AO77" s="645"/>
      <c r="AP77" s="645"/>
      <c r="AQ77" s="645"/>
      <c r="AR77" s="645"/>
      <c r="AS77" s="645"/>
      <c r="AT77" s="645"/>
      <c r="AU77" s="645"/>
      <c r="AV77" s="645"/>
      <c r="AW77" s="645"/>
      <c r="AX77" s="645"/>
      <c r="AY77" s="645"/>
      <c r="AZ77" s="645"/>
      <c r="BA77" s="645"/>
      <c r="BB77" s="645"/>
      <c r="BC77" s="645"/>
      <c r="BD77" s="645"/>
      <c r="BE77" s="645"/>
      <c r="BF77" s="645"/>
      <c r="BG77" s="645"/>
      <c r="BH77" s="645"/>
      <c r="BI77" s="645"/>
      <c r="BJ77" s="645"/>
      <c r="BK77" s="645"/>
      <c r="BL77" s="645"/>
      <c r="BM77" s="645"/>
      <c r="BN77" s="645"/>
      <c r="BO77" s="645"/>
      <c r="BP77" s="645"/>
      <c r="BQ77" s="645"/>
      <c r="BR77" s="645"/>
      <c r="BS77" s="645"/>
      <c r="BT77" s="645"/>
      <c r="BU77" s="645"/>
      <c r="BV77" s="645"/>
      <c r="BW77" s="645"/>
      <c r="BX77" s="645"/>
      <c r="BY77" s="645"/>
      <c r="BZ77" s="645"/>
      <c r="CA77" s="645"/>
      <c r="CB77" s="645"/>
      <c r="CC77" s="645"/>
      <c r="CD77" s="645"/>
      <c r="CE77" s="645"/>
      <c r="CF77" s="645"/>
    </row>
    <row r="78" spans="1:84" s="663" customFormat="1" ht="15.75" customHeight="1">
      <c r="A78" s="635">
        <v>72</v>
      </c>
      <c r="B78" s="642"/>
      <c r="C78" s="474" t="s">
        <v>2224</v>
      </c>
      <c r="D78" s="474" t="s">
        <v>2180</v>
      </c>
      <c r="E78" s="633"/>
      <c r="F78" s="580"/>
      <c r="G78" s="660"/>
      <c r="H78" s="660"/>
      <c r="I78" s="660"/>
      <c r="J78" s="664" t="s">
        <v>2170</v>
      </c>
      <c r="K78" s="648">
        <v>1</v>
      </c>
      <c r="L78" s="898"/>
      <c r="M78" s="636"/>
      <c r="N78" s="636"/>
      <c r="O78" s="636"/>
      <c r="P78" s="636"/>
      <c r="Q78" s="898"/>
      <c r="R78" s="898"/>
      <c r="S78" s="636">
        <f t="shared" si="7"/>
        <v>5500</v>
      </c>
      <c r="T78" s="637"/>
      <c r="U78" s="636">
        <f t="shared" si="8"/>
        <v>5500</v>
      </c>
      <c r="V78" s="636" t="str">
        <f t="shared" si="9"/>
        <v/>
      </c>
      <c r="W78" s="522">
        <v>5500</v>
      </c>
      <c r="X78" s="633"/>
      <c r="Y78" s="645"/>
      <c r="Z78" s="645"/>
      <c r="AA78" s="645"/>
      <c r="AB78" s="645"/>
      <c r="AC78" s="645"/>
      <c r="AD78" s="645"/>
      <c r="AE78" s="645"/>
      <c r="AF78" s="645"/>
      <c r="AG78" s="645"/>
      <c r="AH78" s="645"/>
      <c r="AI78" s="645"/>
      <c r="AJ78" s="645"/>
      <c r="AK78" s="645"/>
      <c r="AL78" s="645"/>
      <c r="AM78" s="645"/>
      <c r="AN78" s="645"/>
      <c r="AO78" s="645"/>
      <c r="AP78" s="645"/>
      <c r="AQ78" s="645"/>
      <c r="AR78" s="645"/>
      <c r="AS78" s="645"/>
      <c r="AT78" s="645"/>
      <c r="AU78" s="645"/>
      <c r="AV78" s="645"/>
      <c r="AW78" s="645"/>
      <c r="AX78" s="645"/>
      <c r="AY78" s="645"/>
      <c r="AZ78" s="645"/>
      <c r="BA78" s="645"/>
      <c r="BB78" s="645"/>
      <c r="BC78" s="645"/>
      <c r="BD78" s="645"/>
      <c r="BE78" s="645"/>
      <c r="BF78" s="645"/>
      <c r="BG78" s="645"/>
      <c r="BH78" s="645"/>
      <c r="BI78" s="645"/>
      <c r="BJ78" s="645"/>
      <c r="BK78" s="645"/>
      <c r="BL78" s="645"/>
      <c r="BM78" s="645"/>
      <c r="BN78" s="645"/>
      <c r="BO78" s="645"/>
      <c r="BP78" s="645"/>
      <c r="BQ78" s="645"/>
      <c r="BR78" s="645"/>
      <c r="BS78" s="645"/>
      <c r="BT78" s="645"/>
      <c r="BU78" s="645"/>
      <c r="BV78" s="645"/>
      <c r="BW78" s="645"/>
      <c r="BX78" s="645"/>
      <c r="BY78" s="645"/>
      <c r="BZ78" s="645"/>
      <c r="CA78" s="645"/>
      <c r="CB78" s="645"/>
      <c r="CC78" s="645"/>
      <c r="CD78" s="645"/>
      <c r="CE78" s="645"/>
      <c r="CF78" s="645"/>
    </row>
    <row r="79" spans="1:84" s="663" customFormat="1" ht="15.75" customHeight="1">
      <c r="A79" s="635">
        <v>73</v>
      </c>
      <c r="B79" s="642"/>
      <c r="C79" s="474" t="s">
        <v>2225</v>
      </c>
      <c r="D79" s="474" t="s">
        <v>2201</v>
      </c>
      <c r="E79" s="633"/>
      <c r="F79" s="580"/>
      <c r="G79" s="660"/>
      <c r="H79" s="660"/>
      <c r="I79" s="660"/>
      <c r="J79" s="664" t="s">
        <v>2170</v>
      </c>
      <c r="K79" s="648">
        <v>1</v>
      </c>
      <c r="L79" s="898"/>
      <c r="M79" s="636"/>
      <c r="N79" s="636"/>
      <c r="O79" s="636"/>
      <c r="P79" s="636"/>
      <c r="Q79" s="898"/>
      <c r="R79" s="898"/>
      <c r="S79" s="636">
        <f t="shared" si="7"/>
        <v>3700</v>
      </c>
      <c r="T79" s="637"/>
      <c r="U79" s="636">
        <f t="shared" si="8"/>
        <v>3700</v>
      </c>
      <c r="V79" s="636" t="str">
        <f t="shared" si="9"/>
        <v/>
      </c>
      <c r="W79" s="522">
        <v>3700</v>
      </c>
      <c r="X79" s="633"/>
      <c r="Y79" s="645"/>
      <c r="Z79" s="645"/>
      <c r="AA79" s="645"/>
      <c r="AB79" s="645"/>
      <c r="AC79" s="645"/>
      <c r="AD79" s="645"/>
      <c r="AE79" s="645"/>
      <c r="AF79" s="645"/>
      <c r="AG79" s="645"/>
      <c r="AH79" s="645"/>
      <c r="AI79" s="645"/>
      <c r="AJ79" s="645"/>
      <c r="AK79" s="645"/>
      <c r="AL79" s="645"/>
      <c r="AM79" s="645"/>
      <c r="AN79" s="645"/>
      <c r="AO79" s="645"/>
      <c r="AP79" s="645"/>
      <c r="AQ79" s="645"/>
      <c r="AR79" s="645"/>
      <c r="AS79" s="645"/>
      <c r="AT79" s="645"/>
      <c r="AU79" s="645"/>
      <c r="AV79" s="645"/>
      <c r="AW79" s="645"/>
      <c r="AX79" s="645"/>
      <c r="AY79" s="645"/>
      <c r="AZ79" s="645"/>
      <c r="BA79" s="645"/>
      <c r="BB79" s="645"/>
      <c r="BC79" s="645"/>
      <c r="BD79" s="645"/>
      <c r="BE79" s="645"/>
      <c r="BF79" s="645"/>
      <c r="BG79" s="645"/>
      <c r="BH79" s="645"/>
      <c r="BI79" s="645"/>
      <c r="BJ79" s="645"/>
      <c r="BK79" s="645"/>
      <c r="BL79" s="645"/>
      <c r="BM79" s="645"/>
      <c r="BN79" s="645"/>
      <c r="BO79" s="645"/>
      <c r="BP79" s="645"/>
      <c r="BQ79" s="645"/>
      <c r="BR79" s="645"/>
      <c r="BS79" s="645"/>
      <c r="BT79" s="645"/>
      <c r="BU79" s="645"/>
      <c r="BV79" s="645"/>
      <c r="BW79" s="645"/>
      <c r="BX79" s="645"/>
      <c r="BY79" s="645"/>
      <c r="BZ79" s="645"/>
      <c r="CA79" s="645"/>
      <c r="CB79" s="645"/>
      <c r="CC79" s="645"/>
      <c r="CD79" s="645"/>
      <c r="CE79" s="645"/>
      <c r="CF79" s="645"/>
    </row>
    <row r="80" spans="1:84" s="663" customFormat="1" ht="15.75" customHeight="1">
      <c r="A80" s="635">
        <v>74</v>
      </c>
      <c r="B80" s="642"/>
      <c r="C80" s="474" t="s">
        <v>2226</v>
      </c>
      <c r="D80" s="474" t="s">
        <v>2201</v>
      </c>
      <c r="E80" s="633"/>
      <c r="F80" s="580"/>
      <c r="G80" s="660"/>
      <c r="H80" s="660"/>
      <c r="I80" s="660"/>
      <c r="J80" s="664" t="s">
        <v>2170</v>
      </c>
      <c r="K80" s="648">
        <v>1</v>
      </c>
      <c r="L80" s="898"/>
      <c r="M80" s="636"/>
      <c r="N80" s="636"/>
      <c r="O80" s="636"/>
      <c r="P80" s="636"/>
      <c r="Q80" s="898"/>
      <c r="R80" s="898"/>
      <c r="S80" s="636">
        <f t="shared" si="7"/>
        <v>3700</v>
      </c>
      <c r="T80" s="637"/>
      <c r="U80" s="636">
        <f t="shared" si="8"/>
        <v>3700</v>
      </c>
      <c r="V80" s="636" t="str">
        <f t="shared" si="9"/>
        <v/>
      </c>
      <c r="W80" s="522">
        <v>3700</v>
      </c>
      <c r="X80" s="633"/>
      <c r="Y80" s="645"/>
      <c r="Z80" s="645"/>
      <c r="AA80" s="645"/>
      <c r="AB80" s="645"/>
      <c r="AC80" s="645"/>
      <c r="AD80" s="645"/>
      <c r="AE80" s="645"/>
      <c r="AF80" s="645"/>
      <c r="AG80" s="645"/>
      <c r="AH80" s="645"/>
      <c r="AI80" s="645"/>
      <c r="AJ80" s="645"/>
      <c r="AK80" s="645"/>
      <c r="AL80" s="645"/>
      <c r="AM80" s="645"/>
      <c r="AN80" s="645"/>
      <c r="AO80" s="645"/>
      <c r="AP80" s="645"/>
      <c r="AQ80" s="645"/>
      <c r="AR80" s="645"/>
      <c r="AS80" s="645"/>
      <c r="AT80" s="645"/>
      <c r="AU80" s="645"/>
      <c r="AV80" s="645"/>
      <c r="AW80" s="645"/>
      <c r="AX80" s="645"/>
      <c r="AY80" s="645"/>
      <c r="AZ80" s="645"/>
      <c r="BA80" s="645"/>
      <c r="BB80" s="645"/>
      <c r="BC80" s="645"/>
      <c r="BD80" s="645"/>
      <c r="BE80" s="645"/>
      <c r="BF80" s="645"/>
      <c r="BG80" s="645"/>
      <c r="BH80" s="645"/>
      <c r="BI80" s="645"/>
      <c r="BJ80" s="645"/>
      <c r="BK80" s="645"/>
      <c r="BL80" s="645"/>
      <c r="BM80" s="645"/>
      <c r="BN80" s="645"/>
      <c r="BO80" s="645"/>
      <c r="BP80" s="645"/>
      <c r="BQ80" s="645"/>
      <c r="BR80" s="645"/>
      <c r="BS80" s="645"/>
      <c r="BT80" s="645"/>
      <c r="BU80" s="645"/>
      <c r="BV80" s="645"/>
      <c r="BW80" s="645"/>
      <c r="BX80" s="645"/>
      <c r="BY80" s="645"/>
      <c r="BZ80" s="645"/>
      <c r="CA80" s="645"/>
      <c r="CB80" s="645"/>
      <c r="CC80" s="645"/>
      <c r="CD80" s="645"/>
      <c r="CE80" s="645"/>
      <c r="CF80" s="645"/>
    </row>
    <row r="81" spans="1:84" s="663" customFormat="1" ht="15.75" customHeight="1">
      <c r="A81" s="635">
        <v>75</v>
      </c>
      <c r="B81" s="642"/>
      <c r="C81" s="474" t="s">
        <v>2227</v>
      </c>
      <c r="D81" s="474" t="s">
        <v>2201</v>
      </c>
      <c r="E81" s="633"/>
      <c r="F81" s="580"/>
      <c r="G81" s="660"/>
      <c r="H81" s="660"/>
      <c r="I81" s="660"/>
      <c r="J81" s="664" t="s">
        <v>2170</v>
      </c>
      <c r="K81" s="648">
        <v>1</v>
      </c>
      <c r="L81" s="898"/>
      <c r="M81" s="636"/>
      <c r="N81" s="636"/>
      <c r="O81" s="636"/>
      <c r="P81" s="636"/>
      <c r="Q81" s="898"/>
      <c r="R81" s="898"/>
      <c r="S81" s="636">
        <f t="shared" si="7"/>
        <v>3700</v>
      </c>
      <c r="T81" s="637"/>
      <c r="U81" s="636">
        <f t="shared" si="8"/>
        <v>3700</v>
      </c>
      <c r="V81" s="636" t="str">
        <f t="shared" si="9"/>
        <v/>
      </c>
      <c r="W81" s="522">
        <v>3700</v>
      </c>
      <c r="X81" s="633"/>
      <c r="Y81" s="645"/>
      <c r="Z81" s="645"/>
      <c r="AA81" s="645"/>
      <c r="AB81" s="645"/>
      <c r="AC81" s="645"/>
      <c r="AD81" s="645"/>
      <c r="AE81" s="645"/>
      <c r="AF81" s="645"/>
      <c r="AG81" s="645"/>
      <c r="AH81" s="645"/>
      <c r="AI81" s="645"/>
      <c r="AJ81" s="645"/>
      <c r="AK81" s="645"/>
      <c r="AL81" s="645"/>
      <c r="AM81" s="645"/>
      <c r="AN81" s="645"/>
      <c r="AO81" s="645"/>
      <c r="AP81" s="645"/>
      <c r="AQ81" s="645"/>
      <c r="AR81" s="645"/>
      <c r="AS81" s="645"/>
      <c r="AT81" s="645"/>
      <c r="AU81" s="645"/>
      <c r="AV81" s="645"/>
      <c r="AW81" s="645"/>
      <c r="AX81" s="645"/>
      <c r="AY81" s="645"/>
      <c r="AZ81" s="645"/>
      <c r="BA81" s="645"/>
      <c r="BB81" s="645"/>
      <c r="BC81" s="645"/>
      <c r="BD81" s="645"/>
      <c r="BE81" s="645"/>
      <c r="BF81" s="645"/>
      <c r="BG81" s="645"/>
      <c r="BH81" s="645"/>
      <c r="BI81" s="645"/>
      <c r="BJ81" s="645"/>
      <c r="BK81" s="645"/>
      <c r="BL81" s="645"/>
      <c r="BM81" s="645"/>
      <c r="BN81" s="645"/>
      <c r="BO81" s="645"/>
      <c r="BP81" s="645"/>
      <c r="BQ81" s="645"/>
      <c r="BR81" s="645"/>
      <c r="BS81" s="645"/>
      <c r="BT81" s="645"/>
      <c r="BU81" s="645"/>
      <c r="BV81" s="645"/>
      <c r="BW81" s="645"/>
      <c r="BX81" s="645"/>
      <c r="BY81" s="645"/>
      <c r="BZ81" s="645"/>
      <c r="CA81" s="645"/>
      <c r="CB81" s="645"/>
      <c r="CC81" s="645"/>
      <c r="CD81" s="645"/>
      <c r="CE81" s="645"/>
      <c r="CF81" s="645"/>
    </row>
    <row r="82" spans="1:84" s="663" customFormat="1" ht="15.75" customHeight="1">
      <c r="A82" s="635">
        <v>76</v>
      </c>
      <c r="B82" s="642"/>
      <c r="C82" s="474" t="s">
        <v>2228</v>
      </c>
      <c r="D82" s="474" t="s">
        <v>2201</v>
      </c>
      <c r="E82" s="633"/>
      <c r="F82" s="580"/>
      <c r="G82" s="660"/>
      <c r="H82" s="660"/>
      <c r="I82" s="660"/>
      <c r="J82" s="664" t="s">
        <v>2170</v>
      </c>
      <c r="K82" s="648">
        <v>1</v>
      </c>
      <c r="L82" s="898"/>
      <c r="M82" s="636"/>
      <c r="N82" s="636"/>
      <c r="O82" s="636"/>
      <c r="P82" s="636"/>
      <c r="Q82" s="898"/>
      <c r="R82" s="898"/>
      <c r="S82" s="636">
        <f t="shared" si="7"/>
        <v>3700</v>
      </c>
      <c r="T82" s="637"/>
      <c r="U82" s="636">
        <f t="shared" si="8"/>
        <v>3700</v>
      </c>
      <c r="V82" s="636" t="str">
        <f t="shared" si="9"/>
        <v/>
      </c>
      <c r="W82" s="522">
        <v>3700</v>
      </c>
      <c r="X82" s="633"/>
      <c r="Y82" s="645"/>
      <c r="Z82" s="645"/>
      <c r="AA82" s="645"/>
      <c r="AB82" s="645"/>
      <c r="AC82" s="645"/>
      <c r="AD82" s="645"/>
      <c r="AE82" s="645"/>
      <c r="AF82" s="645"/>
      <c r="AG82" s="645"/>
      <c r="AH82" s="645"/>
      <c r="AI82" s="645"/>
      <c r="AJ82" s="645"/>
      <c r="AK82" s="645"/>
      <c r="AL82" s="645"/>
      <c r="AM82" s="645"/>
      <c r="AN82" s="645"/>
      <c r="AO82" s="645"/>
      <c r="AP82" s="645"/>
      <c r="AQ82" s="645"/>
      <c r="AR82" s="645"/>
      <c r="AS82" s="645"/>
      <c r="AT82" s="645"/>
      <c r="AU82" s="645"/>
      <c r="AV82" s="645"/>
      <c r="AW82" s="645"/>
      <c r="AX82" s="645"/>
      <c r="AY82" s="645"/>
      <c r="AZ82" s="645"/>
      <c r="BA82" s="645"/>
      <c r="BB82" s="645"/>
      <c r="BC82" s="645"/>
      <c r="BD82" s="645"/>
      <c r="BE82" s="645"/>
      <c r="BF82" s="645"/>
      <c r="BG82" s="645"/>
      <c r="BH82" s="645"/>
      <c r="BI82" s="645"/>
      <c r="BJ82" s="645"/>
      <c r="BK82" s="645"/>
      <c r="BL82" s="645"/>
      <c r="BM82" s="645"/>
      <c r="BN82" s="645"/>
      <c r="BO82" s="645"/>
      <c r="BP82" s="645"/>
      <c r="BQ82" s="645"/>
      <c r="BR82" s="645"/>
      <c r="BS82" s="645"/>
      <c r="BT82" s="645"/>
      <c r="BU82" s="645"/>
      <c r="BV82" s="645"/>
      <c r="BW82" s="645"/>
      <c r="BX82" s="645"/>
      <c r="BY82" s="645"/>
      <c r="BZ82" s="645"/>
      <c r="CA82" s="645"/>
      <c r="CB82" s="645"/>
      <c r="CC82" s="645"/>
      <c r="CD82" s="645"/>
      <c r="CE82" s="645"/>
      <c r="CF82" s="645"/>
    </row>
    <row r="83" spans="1:84" s="663" customFormat="1" ht="15.75" customHeight="1">
      <c r="A83" s="635">
        <v>77</v>
      </c>
      <c r="B83" s="642"/>
      <c r="C83" s="474" t="s">
        <v>2229</v>
      </c>
      <c r="D83" s="474" t="s">
        <v>2201</v>
      </c>
      <c r="E83" s="633"/>
      <c r="F83" s="580"/>
      <c r="G83" s="660"/>
      <c r="H83" s="660"/>
      <c r="I83" s="660"/>
      <c r="J83" s="664" t="s">
        <v>2170</v>
      </c>
      <c r="K83" s="648">
        <v>1</v>
      </c>
      <c r="L83" s="898"/>
      <c r="M83" s="636"/>
      <c r="N83" s="636"/>
      <c r="O83" s="636"/>
      <c r="P83" s="636"/>
      <c r="Q83" s="898"/>
      <c r="R83" s="898"/>
      <c r="S83" s="636">
        <f t="shared" si="7"/>
        <v>3700</v>
      </c>
      <c r="T83" s="637"/>
      <c r="U83" s="636">
        <f t="shared" si="8"/>
        <v>3700</v>
      </c>
      <c r="V83" s="636" t="str">
        <f t="shared" si="9"/>
        <v/>
      </c>
      <c r="W83" s="522">
        <v>3700</v>
      </c>
      <c r="X83" s="633"/>
      <c r="Y83" s="645"/>
      <c r="Z83" s="645"/>
      <c r="AA83" s="645"/>
      <c r="AB83" s="645"/>
      <c r="AC83" s="645"/>
      <c r="AD83" s="645"/>
      <c r="AE83" s="645"/>
      <c r="AF83" s="645"/>
      <c r="AG83" s="645"/>
      <c r="AH83" s="645"/>
      <c r="AI83" s="645"/>
      <c r="AJ83" s="645"/>
      <c r="AK83" s="645"/>
      <c r="AL83" s="645"/>
      <c r="AM83" s="645"/>
      <c r="AN83" s="645"/>
      <c r="AO83" s="645"/>
      <c r="AP83" s="645"/>
      <c r="AQ83" s="645"/>
      <c r="AR83" s="645"/>
      <c r="AS83" s="645"/>
      <c r="AT83" s="645"/>
      <c r="AU83" s="645"/>
      <c r="AV83" s="645"/>
      <c r="AW83" s="645"/>
      <c r="AX83" s="645"/>
      <c r="AY83" s="645"/>
      <c r="AZ83" s="645"/>
      <c r="BA83" s="645"/>
      <c r="BB83" s="645"/>
      <c r="BC83" s="645"/>
      <c r="BD83" s="645"/>
      <c r="BE83" s="645"/>
      <c r="BF83" s="645"/>
      <c r="BG83" s="645"/>
      <c r="BH83" s="645"/>
      <c r="BI83" s="645"/>
      <c r="BJ83" s="645"/>
      <c r="BK83" s="645"/>
      <c r="BL83" s="645"/>
      <c r="BM83" s="645"/>
      <c r="BN83" s="645"/>
      <c r="BO83" s="645"/>
      <c r="BP83" s="645"/>
      <c r="BQ83" s="645"/>
      <c r="BR83" s="645"/>
      <c r="BS83" s="645"/>
      <c r="BT83" s="645"/>
      <c r="BU83" s="645"/>
      <c r="BV83" s="645"/>
      <c r="BW83" s="645"/>
      <c r="BX83" s="645"/>
      <c r="BY83" s="645"/>
      <c r="BZ83" s="645"/>
      <c r="CA83" s="645"/>
      <c r="CB83" s="645"/>
      <c r="CC83" s="645"/>
      <c r="CD83" s="645"/>
      <c r="CE83" s="645"/>
      <c r="CF83" s="645"/>
    </row>
    <row r="84" spans="1:84" s="663" customFormat="1" ht="15.75" customHeight="1">
      <c r="A84" s="635">
        <v>78</v>
      </c>
      <c r="B84" s="642"/>
      <c r="C84" s="474" t="s">
        <v>2230</v>
      </c>
      <c r="D84" s="474" t="s">
        <v>2201</v>
      </c>
      <c r="E84" s="633"/>
      <c r="F84" s="580"/>
      <c r="G84" s="660"/>
      <c r="H84" s="660"/>
      <c r="I84" s="660"/>
      <c r="J84" s="664" t="s">
        <v>2170</v>
      </c>
      <c r="K84" s="648">
        <v>1</v>
      </c>
      <c r="L84" s="898"/>
      <c r="M84" s="636"/>
      <c r="N84" s="636"/>
      <c r="O84" s="636"/>
      <c r="P84" s="636"/>
      <c r="Q84" s="898"/>
      <c r="R84" s="898"/>
      <c r="S84" s="636">
        <f t="shared" si="7"/>
        <v>3700</v>
      </c>
      <c r="T84" s="637"/>
      <c r="U84" s="636">
        <f t="shared" si="8"/>
        <v>3700</v>
      </c>
      <c r="V84" s="636" t="str">
        <f t="shared" si="9"/>
        <v/>
      </c>
      <c r="W84" s="522">
        <v>3700</v>
      </c>
      <c r="X84" s="633"/>
      <c r="Y84" s="645"/>
      <c r="Z84" s="645"/>
      <c r="AA84" s="645"/>
      <c r="AB84" s="645"/>
      <c r="AC84" s="645"/>
      <c r="AD84" s="645"/>
      <c r="AE84" s="645"/>
      <c r="AF84" s="645"/>
      <c r="AG84" s="645"/>
      <c r="AH84" s="645"/>
      <c r="AI84" s="645"/>
      <c r="AJ84" s="645"/>
      <c r="AK84" s="645"/>
      <c r="AL84" s="645"/>
      <c r="AM84" s="645"/>
      <c r="AN84" s="645"/>
      <c r="AO84" s="645"/>
      <c r="AP84" s="645"/>
      <c r="AQ84" s="645"/>
      <c r="AR84" s="645"/>
      <c r="AS84" s="645"/>
      <c r="AT84" s="645"/>
      <c r="AU84" s="645"/>
      <c r="AV84" s="645"/>
      <c r="AW84" s="645"/>
      <c r="AX84" s="645"/>
      <c r="AY84" s="645"/>
      <c r="AZ84" s="645"/>
      <c r="BA84" s="645"/>
      <c r="BB84" s="645"/>
      <c r="BC84" s="645"/>
      <c r="BD84" s="645"/>
      <c r="BE84" s="645"/>
      <c r="BF84" s="645"/>
      <c r="BG84" s="645"/>
      <c r="BH84" s="645"/>
      <c r="BI84" s="645"/>
      <c r="BJ84" s="645"/>
      <c r="BK84" s="645"/>
      <c r="BL84" s="645"/>
      <c r="BM84" s="645"/>
      <c r="BN84" s="645"/>
      <c r="BO84" s="645"/>
      <c r="BP84" s="645"/>
      <c r="BQ84" s="645"/>
      <c r="BR84" s="645"/>
      <c r="BS84" s="645"/>
      <c r="BT84" s="645"/>
      <c r="BU84" s="645"/>
      <c r="BV84" s="645"/>
      <c r="BW84" s="645"/>
      <c r="BX84" s="645"/>
      <c r="BY84" s="645"/>
      <c r="BZ84" s="645"/>
      <c r="CA84" s="645"/>
      <c r="CB84" s="645"/>
      <c r="CC84" s="645"/>
      <c r="CD84" s="645"/>
      <c r="CE84" s="645"/>
      <c r="CF84" s="645"/>
    </row>
    <row r="85" spans="1:84" s="663" customFormat="1" ht="15.75" customHeight="1">
      <c r="A85" s="635">
        <v>79</v>
      </c>
      <c r="B85" s="642"/>
      <c r="C85" s="474" t="s">
        <v>2231</v>
      </c>
      <c r="D85" s="474" t="s">
        <v>2201</v>
      </c>
      <c r="E85" s="633"/>
      <c r="F85" s="580"/>
      <c r="G85" s="660"/>
      <c r="H85" s="660"/>
      <c r="I85" s="660"/>
      <c r="J85" s="664" t="s">
        <v>2170</v>
      </c>
      <c r="K85" s="648">
        <v>1</v>
      </c>
      <c r="L85" s="898"/>
      <c r="M85" s="636"/>
      <c r="N85" s="636"/>
      <c r="O85" s="636"/>
      <c r="P85" s="636"/>
      <c r="Q85" s="898"/>
      <c r="R85" s="898"/>
      <c r="S85" s="636">
        <f t="shared" si="7"/>
        <v>3700</v>
      </c>
      <c r="T85" s="637"/>
      <c r="U85" s="636">
        <f t="shared" si="8"/>
        <v>3700</v>
      </c>
      <c r="V85" s="636" t="str">
        <f t="shared" si="9"/>
        <v/>
      </c>
      <c r="W85" s="522">
        <v>3700</v>
      </c>
      <c r="X85" s="633"/>
      <c r="Y85" s="645"/>
      <c r="Z85" s="645"/>
      <c r="AA85" s="645"/>
      <c r="AB85" s="645"/>
      <c r="AC85" s="645"/>
      <c r="AD85" s="645"/>
      <c r="AE85" s="645"/>
      <c r="AF85" s="645"/>
      <c r="AG85" s="645"/>
      <c r="AH85" s="645"/>
      <c r="AI85" s="645"/>
      <c r="AJ85" s="645"/>
      <c r="AK85" s="645"/>
      <c r="AL85" s="645"/>
      <c r="AM85" s="645"/>
      <c r="AN85" s="645"/>
      <c r="AO85" s="645"/>
      <c r="AP85" s="645"/>
      <c r="AQ85" s="645"/>
      <c r="AR85" s="645"/>
      <c r="AS85" s="645"/>
      <c r="AT85" s="645"/>
      <c r="AU85" s="645"/>
      <c r="AV85" s="645"/>
      <c r="AW85" s="645"/>
      <c r="AX85" s="645"/>
      <c r="AY85" s="645"/>
      <c r="AZ85" s="645"/>
      <c r="BA85" s="645"/>
      <c r="BB85" s="645"/>
      <c r="BC85" s="645"/>
      <c r="BD85" s="645"/>
      <c r="BE85" s="645"/>
      <c r="BF85" s="645"/>
      <c r="BG85" s="645"/>
      <c r="BH85" s="645"/>
      <c r="BI85" s="645"/>
      <c r="BJ85" s="645"/>
      <c r="BK85" s="645"/>
      <c r="BL85" s="645"/>
      <c r="BM85" s="645"/>
      <c r="BN85" s="645"/>
      <c r="BO85" s="645"/>
      <c r="BP85" s="645"/>
      <c r="BQ85" s="645"/>
      <c r="BR85" s="645"/>
      <c r="BS85" s="645"/>
      <c r="BT85" s="645"/>
      <c r="BU85" s="645"/>
      <c r="BV85" s="645"/>
      <c r="BW85" s="645"/>
      <c r="BX85" s="645"/>
      <c r="BY85" s="645"/>
      <c r="BZ85" s="645"/>
      <c r="CA85" s="645"/>
      <c r="CB85" s="645"/>
      <c r="CC85" s="645"/>
      <c r="CD85" s="645"/>
      <c r="CE85" s="645"/>
      <c r="CF85" s="645"/>
    </row>
    <row r="86" spans="1:84" s="663" customFormat="1" ht="15.75" customHeight="1">
      <c r="A86" s="635">
        <v>80</v>
      </c>
      <c r="B86" s="642"/>
      <c r="C86" s="474" t="s">
        <v>2232</v>
      </c>
      <c r="D86" s="474" t="s">
        <v>2233</v>
      </c>
      <c r="E86" s="633"/>
      <c r="F86" s="580"/>
      <c r="G86" s="660"/>
      <c r="H86" s="660"/>
      <c r="I86" s="660"/>
      <c r="J86" s="664" t="s">
        <v>2170</v>
      </c>
      <c r="K86" s="648">
        <v>1</v>
      </c>
      <c r="L86" s="898"/>
      <c r="M86" s="636"/>
      <c r="N86" s="636"/>
      <c r="O86" s="636"/>
      <c r="P86" s="636"/>
      <c r="Q86" s="898"/>
      <c r="R86" s="898"/>
      <c r="S86" s="636">
        <f t="shared" si="7"/>
        <v>1800</v>
      </c>
      <c r="T86" s="637"/>
      <c r="U86" s="636">
        <f t="shared" si="8"/>
        <v>1800</v>
      </c>
      <c r="V86" s="636" t="str">
        <f t="shared" si="9"/>
        <v/>
      </c>
      <c r="W86" s="522">
        <v>1800</v>
      </c>
      <c r="X86" s="633"/>
      <c r="Y86" s="645"/>
      <c r="Z86" s="645"/>
      <c r="AA86" s="645"/>
      <c r="AB86" s="645"/>
      <c r="AC86" s="645"/>
      <c r="AD86" s="645"/>
      <c r="AE86" s="645"/>
      <c r="AF86" s="645"/>
      <c r="AG86" s="645"/>
      <c r="AH86" s="645"/>
      <c r="AI86" s="645"/>
      <c r="AJ86" s="645"/>
      <c r="AK86" s="645"/>
      <c r="AL86" s="645"/>
      <c r="AM86" s="645"/>
      <c r="AN86" s="645"/>
      <c r="AO86" s="645"/>
      <c r="AP86" s="645"/>
      <c r="AQ86" s="645"/>
      <c r="AR86" s="645"/>
      <c r="AS86" s="645"/>
      <c r="AT86" s="645"/>
      <c r="AU86" s="645"/>
      <c r="AV86" s="645"/>
      <c r="AW86" s="645"/>
      <c r="AX86" s="645"/>
      <c r="AY86" s="645"/>
      <c r="AZ86" s="645"/>
      <c r="BA86" s="645"/>
      <c r="BB86" s="645"/>
      <c r="BC86" s="645"/>
      <c r="BD86" s="645"/>
      <c r="BE86" s="645"/>
      <c r="BF86" s="645"/>
      <c r="BG86" s="645"/>
      <c r="BH86" s="645"/>
      <c r="BI86" s="645"/>
      <c r="BJ86" s="645"/>
      <c r="BK86" s="645"/>
      <c r="BL86" s="645"/>
      <c r="BM86" s="645"/>
      <c r="BN86" s="645"/>
      <c r="BO86" s="645"/>
      <c r="BP86" s="645"/>
      <c r="BQ86" s="645"/>
      <c r="BR86" s="645"/>
      <c r="BS86" s="645"/>
      <c r="BT86" s="645"/>
      <c r="BU86" s="645"/>
      <c r="BV86" s="645"/>
      <c r="BW86" s="645"/>
      <c r="BX86" s="645"/>
      <c r="BY86" s="645"/>
      <c r="BZ86" s="645"/>
      <c r="CA86" s="645"/>
      <c r="CB86" s="645"/>
      <c r="CC86" s="645"/>
      <c r="CD86" s="645"/>
      <c r="CE86" s="645"/>
      <c r="CF86" s="645"/>
    </row>
    <row r="87" spans="1:84" s="663" customFormat="1" ht="15.75" customHeight="1">
      <c r="A87" s="635">
        <v>81</v>
      </c>
      <c r="B87" s="642"/>
      <c r="C87" s="474" t="s">
        <v>2234</v>
      </c>
      <c r="D87" s="474" t="s">
        <v>2201</v>
      </c>
      <c r="E87" s="633"/>
      <c r="F87" s="580"/>
      <c r="G87" s="660"/>
      <c r="H87" s="660"/>
      <c r="I87" s="660"/>
      <c r="J87" s="664" t="s">
        <v>2170</v>
      </c>
      <c r="K87" s="648">
        <v>1</v>
      </c>
      <c r="L87" s="898"/>
      <c r="M87" s="636"/>
      <c r="N87" s="636"/>
      <c r="O87" s="636"/>
      <c r="P87" s="636"/>
      <c r="Q87" s="898"/>
      <c r="R87" s="898"/>
      <c r="S87" s="636">
        <f t="shared" si="7"/>
        <v>3700</v>
      </c>
      <c r="T87" s="637"/>
      <c r="U87" s="636">
        <f t="shared" si="8"/>
        <v>3700</v>
      </c>
      <c r="V87" s="636" t="str">
        <f t="shared" si="9"/>
        <v/>
      </c>
      <c r="W87" s="522">
        <v>3700</v>
      </c>
      <c r="X87" s="633"/>
      <c r="Y87" s="645"/>
      <c r="Z87" s="645"/>
      <c r="AA87" s="645"/>
      <c r="AB87" s="645"/>
      <c r="AC87" s="645"/>
      <c r="AD87" s="645"/>
      <c r="AE87" s="645"/>
      <c r="AF87" s="645"/>
      <c r="AG87" s="645"/>
      <c r="AH87" s="645"/>
      <c r="AI87" s="645"/>
      <c r="AJ87" s="645"/>
      <c r="AK87" s="645"/>
      <c r="AL87" s="645"/>
      <c r="AM87" s="645"/>
      <c r="AN87" s="645"/>
      <c r="AO87" s="645"/>
      <c r="AP87" s="645"/>
      <c r="AQ87" s="645"/>
      <c r="AR87" s="645"/>
      <c r="AS87" s="645"/>
      <c r="AT87" s="645"/>
      <c r="AU87" s="645"/>
      <c r="AV87" s="645"/>
      <c r="AW87" s="645"/>
      <c r="AX87" s="645"/>
      <c r="AY87" s="645"/>
      <c r="AZ87" s="645"/>
      <c r="BA87" s="645"/>
      <c r="BB87" s="645"/>
      <c r="BC87" s="645"/>
      <c r="BD87" s="645"/>
      <c r="BE87" s="645"/>
      <c r="BF87" s="645"/>
      <c r="BG87" s="645"/>
      <c r="BH87" s="645"/>
      <c r="BI87" s="645"/>
      <c r="BJ87" s="645"/>
      <c r="BK87" s="645"/>
      <c r="BL87" s="645"/>
      <c r="BM87" s="645"/>
      <c r="BN87" s="645"/>
      <c r="BO87" s="645"/>
      <c r="BP87" s="645"/>
      <c r="BQ87" s="645"/>
      <c r="BR87" s="645"/>
      <c r="BS87" s="645"/>
      <c r="BT87" s="645"/>
      <c r="BU87" s="645"/>
      <c r="BV87" s="645"/>
      <c r="BW87" s="645"/>
      <c r="BX87" s="645"/>
      <c r="BY87" s="645"/>
      <c r="BZ87" s="645"/>
      <c r="CA87" s="645"/>
      <c r="CB87" s="645"/>
      <c r="CC87" s="645"/>
      <c r="CD87" s="645"/>
      <c r="CE87" s="645"/>
      <c r="CF87" s="645"/>
    </row>
    <row r="88" spans="1:84" s="663" customFormat="1" ht="15.75" customHeight="1">
      <c r="A88" s="635">
        <v>82</v>
      </c>
      <c r="B88" s="642"/>
      <c r="C88" s="474" t="s">
        <v>2235</v>
      </c>
      <c r="D88" s="474" t="s">
        <v>2236</v>
      </c>
      <c r="E88" s="633"/>
      <c r="F88" s="580"/>
      <c r="G88" s="660"/>
      <c r="H88" s="660"/>
      <c r="I88" s="660"/>
      <c r="J88" s="664" t="s">
        <v>2170</v>
      </c>
      <c r="K88" s="648">
        <v>1</v>
      </c>
      <c r="L88" s="898"/>
      <c r="M88" s="636"/>
      <c r="N88" s="636"/>
      <c r="O88" s="636"/>
      <c r="P88" s="636"/>
      <c r="Q88" s="898"/>
      <c r="R88" s="898"/>
      <c r="S88" s="636">
        <f t="shared" si="7"/>
        <v>2300</v>
      </c>
      <c r="T88" s="637"/>
      <c r="U88" s="636">
        <f t="shared" si="8"/>
        <v>2300</v>
      </c>
      <c r="V88" s="636" t="str">
        <f t="shared" si="9"/>
        <v/>
      </c>
      <c r="W88" s="522">
        <v>2300</v>
      </c>
      <c r="X88" s="633"/>
      <c r="Y88" s="645"/>
      <c r="Z88" s="645"/>
      <c r="AA88" s="645"/>
      <c r="AB88" s="645"/>
      <c r="AC88" s="645"/>
      <c r="AD88" s="645"/>
      <c r="AE88" s="645"/>
      <c r="AF88" s="645"/>
      <c r="AG88" s="645"/>
      <c r="AH88" s="645"/>
      <c r="AI88" s="645"/>
      <c r="AJ88" s="645"/>
      <c r="AK88" s="645"/>
      <c r="AL88" s="645"/>
      <c r="AM88" s="645"/>
      <c r="AN88" s="645"/>
      <c r="AO88" s="645"/>
      <c r="AP88" s="645"/>
      <c r="AQ88" s="645"/>
      <c r="AR88" s="645"/>
      <c r="AS88" s="645"/>
      <c r="AT88" s="645"/>
      <c r="AU88" s="645"/>
      <c r="AV88" s="645"/>
      <c r="AW88" s="645"/>
      <c r="AX88" s="645"/>
      <c r="AY88" s="645"/>
      <c r="AZ88" s="645"/>
      <c r="BA88" s="645"/>
      <c r="BB88" s="645"/>
      <c r="BC88" s="645"/>
      <c r="BD88" s="645"/>
      <c r="BE88" s="645"/>
      <c r="BF88" s="645"/>
      <c r="BG88" s="645"/>
      <c r="BH88" s="645"/>
      <c r="BI88" s="645"/>
      <c r="BJ88" s="645"/>
      <c r="BK88" s="645"/>
      <c r="BL88" s="645"/>
      <c r="BM88" s="645"/>
      <c r="BN88" s="645"/>
      <c r="BO88" s="645"/>
      <c r="BP88" s="645"/>
      <c r="BQ88" s="645"/>
      <c r="BR88" s="645"/>
      <c r="BS88" s="645"/>
      <c r="BT88" s="645"/>
      <c r="BU88" s="645"/>
      <c r="BV88" s="645"/>
      <c r="BW88" s="645"/>
      <c r="BX88" s="645"/>
      <c r="BY88" s="645"/>
      <c r="BZ88" s="645"/>
      <c r="CA88" s="645"/>
      <c r="CB88" s="645"/>
      <c r="CC88" s="645"/>
      <c r="CD88" s="645"/>
      <c r="CE88" s="645"/>
      <c r="CF88" s="645"/>
    </row>
    <row r="89" spans="1:84" s="663" customFormat="1" ht="15.75" customHeight="1">
      <c r="A89" s="635">
        <v>83</v>
      </c>
      <c r="B89" s="642"/>
      <c r="C89" s="474" t="s">
        <v>2237</v>
      </c>
      <c r="D89" s="474" t="s">
        <v>2201</v>
      </c>
      <c r="E89" s="633"/>
      <c r="F89" s="580"/>
      <c r="G89" s="660"/>
      <c r="H89" s="660"/>
      <c r="I89" s="660"/>
      <c r="J89" s="664" t="s">
        <v>2170</v>
      </c>
      <c r="K89" s="648">
        <v>1</v>
      </c>
      <c r="L89" s="898"/>
      <c r="M89" s="636"/>
      <c r="N89" s="636"/>
      <c r="O89" s="636"/>
      <c r="P89" s="636"/>
      <c r="Q89" s="898"/>
      <c r="R89" s="898"/>
      <c r="S89" s="636">
        <f t="shared" si="7"/>
        <v>3700</v>
      </c>
      <c r="T89" s="637"/>
      <c r="U89" s="636">
        <f t="shared" si="8"/>
        <v>3700</v>
      </c>
      <c r="V89" s="636" t="str">
        <f t="shared" si="9"/>
        <v/>
      </c>
      <c r="W89" s="522">
        <v>3700</v>
      </c>
      <c r="X89" s="633"/>
      <c r="Y89" s="645"/>
      <c r="Z89" s="645"/>
      <c r="AA89" s="645"/>
      <c r="AB89" s="645"/>
      <c r="AC89" s="645"/>
      <c r="AD89" s="645"/>
      <c r="AE89" s="645"/>
      <c r="AF89" s="645"/>
      <c r="AG89" s="645"/>
      <c r="AH89" s="645"/>
      <c r="AI89" s="645"/>
      <c r="AJ89" s="645"/>
      <c r="AK89" s="645"/>
      <c r="AL89" s="645"/>
      <c r="AM89" s="645"/>
      <c r="AN89" s="645"/>
      <c r="AO89" s="645"/>
      <c r="AP89" s="645"/>
      <c r="AQ89" s="645"/>
      <c r="AR89" s="645"/>
      <c r="AS89" s="645"/>
      <c r="AT89" s="645"/>
      <c r="AU89" s="645"/>
      <c r="AV89" s="645"/>
      <c r="AW89" s="645"/>
      <c r="AX89" s="645"/>
      <c r="AY89" s="645"/>
      <c r="AZ89" s="645"/>
      <c r="BA89" s="645"/>
      <c r="BB89" s="645"/>
      <c r="BC89" s="645"/>
      <c r="BD89" s="645"/>
      <c r="BE89" s="645"/>
      <c r="BF89" s="645"/>
      <c r="BG89" s="645"/>
      <c r="BH89" s="645"/>
      <c r="BI89" s="645"/>
      <c r="BJ89" s="645"/>
      <c r="BK89" s="645"/>
      <c r="BL89" s="645"/>
      <c r="BM89" s="645"/>
      <c r="BN89" s="645"/>
      <c r="BO89" s="645"/>
      <c r="BP89" s="645"/>
      <c r="BQ89" s="645"/>
      <c r="BR89" s="645"/>
      <c r="BS89" s="645"/>
      <c r="BT89" s="645"/>
      <c r="BU89" s="645"/>
      <c r="BV89" s="645"/>
      <c r="BW89" s="645"/>
      <c r="BX89" s="645"/>
      <c r="BY89" s="645"/>
      <c r="BZ89" s="645"/>
      <c r="CA89" s="645"/>
      <c r="CB89" s="645"/>
      <c r="CC89" s="645"/>
      <c r="CD89" s="645"/>
      <c r="CE89" s="645"/>
      <c r="CF89" s="645"/>
    </row>
    <row r="90" spans="1:84" s="663" customFormat="1" ht="15.75" customHeight="1">
      <c r="A90" s="635">
        <v>84</v>
      </c>
      <c r="B90" s="642"/>
      <c r="C90" s="474" t="s">
        <v>2238</v>
      </c>
      <c r="D90" s="474" t="s">
        <v>2236</v>
      </c>
      <c r="E90" s="633"/>
      <c r="F90" s="580"/>
      <c r="G90" s="660"/>
      <c r="H90" s="660"/>
      <c r="I90" s="660"/>
      <c r="J90" s="664" t="s">
        <v>2170</v>
      </c>
      <c r="K90" s="648">
        <v>1</v>
      </c>
      <c r="L90" s="898"/>
      <c r="M90" s="636"/>
      <c r="N90" s="636"/>
      <c r="O90" s="636"/>
      <c r="P90" s="636"/>
      <c r="Q90" s="898"/>
      <c r="R90" s="898"/>
      <c r="S90" s="636">
        <f t="shared" si="7"/>
        <v>2300</v>
      </c>
      <c r="T90" s="637"/>
      <c r="U90" s="636">
        <f t="shared" si="8"/>
        <v>2300</v>
      </c>
      <c r="V90" s="636" t="str">
        <f t="shared" si="9"/>
        <v/>
      </c>
      <c r="W90" s="522">
        <v>2300</v>
      </c>
      <c r="X90" s="633"/>
      <c r="Y90" s="645"/>
      <c r="Z90" s="645"/>
      <c r="AA90" s="645"/>
      <c r="AB90" s="645"/>
      <c r="AC90" s="645"/>
      <c r="AD90" s="645"/>
      <c r="AE90" s="645"/>
      <c r="AF90" s="645"/>
      <c r="AG90" s="645"/>
      <c r="AH90" s="645"/>
      <c r="AI90" s="645"/>
      <c r="AJ90" s="645"/>
      <c r="AK90" s="645"/>
      <c r="AL90" s="645"/>
      <c r="AM90" s="645"/>
      <c r="AN90" s="645"/>
      <c r="AO90" s="645"/>
      <c r="AP90" s="645"/>
      <c r="AQ90" s="645"/>
      <c r="AR90" s="645"/>
      <c r="AS90" s="645"/>
      <c r="AT90" s="645"/>
      <c r="AU90" s="645"/>
      <c r="AV90" s="645"/>
      <c r="AW90" s="645"/>
      <c r="AX90" s="645"/>
      <c r="AY90" s="645"/>
      <c r="AZ90" s="645"/>
      <c r="BA90" s="645"/>
      <c r="BB90" s="645"/>
      <c r="BC90" s="645"/>
      <c r="BD90" s="645"/>
      <c r="BE90" s="645"/>
      <c r="BF90" s="645"/>
      <c r="BG90" s="645"/>
      <c r="BH90" s="645"/>
      <c r="BI90" s="645"/>
      <c r="BJ90" s="645"/>
      <c r="BK90" s="645"/>
      <c r="BL90" s="645"/>
      <c r="BM90" s="645"/>
      <c r="BN90" s="645"/>
      <c r="BO90" s="645"/>
      <c r="BP90" s="645"/>
      <c r="BQ90" s="645"/>
      <c r="BR90" s="645"/>
      <c r="BS90" s="645"/>
      <c r="BT90" s="645"/>
      <c r="BU90" s="645"/>
      <c r="BV90" s="645"/>
      <c r="BW90" s="645"/>
      <c r="BX90" s="645"/>
      <c r="BY90" s="645"/>
      <c r="BZ90" s="645"/>
      <c r="CA90" s="645"/>
      <c r="CB90" s="645"/>
      <c r="CC90" s="645"/>
      <c r="CD90" s="645"/>
      <c r="CE90" s="645"/>
      <c r="CF90" s="645"/>
    </row>
    <row r="91" spans="1:84" s="663" customFormat="1" ht="15.75" customHeight="1">
      <c r="A91" s="635">
        <v>85</v>
      </c>
      <c r="B91" s="642"/>
      <c r="C91" s="474" t="s">
        <v>2239</v>
      </c>
      <c r="D91" s="474" t="s">
        <v>2180</v>
      </c>
      <c r="E91" s="633"/>
      <c r="F91" s="580"/>
      <c r="G91" s="660"/>
      <c r="H91" s="660"/>
      <c r="I91" s="660"/>
      <c r="J91" s="664" t="s">
        <v>2170</v>
      </c>
      <c r="K91" s="648">
        <v>1</v>
      </c>
      <c r="L91" s="898"/>
      <c r="M91" s="636"/>
      <c r="N91" s="636"/>
      <c r="O91" s="636"/>
      <c r="P91" s="636"/>
      <c r="Q91" s="898"/>
      <c r="R91" s="898"/>
      <c r="S91" s="636">
        <f t="shared" si="7"/>
        <v>5500</v>
      </c>
      <c r="T91" s="637"/>
      <c r="U91" s="636">
        <f t="shared" si="8"/>
        <v>5500</v>
      </c>
      <c r="V91" s="636" t="str">
        <f t="shared" si="9"/>
        <v/>
      </c>
      <c r="W91" s="522">
        <v>5500</v>
      </c>
      <c r="X91" s="633"/>
      <c r="Y91" s="645"/>
      <c r="Z91" s="645"/>
      <c r="AA91" s="645"/>
      <c r="AB91" s="645"/>
      <c r="AC91" s="645"/>
      <c r="AD91" s="645"/>
      <c r="AE91" s="645"/>
      <c r="AF91" s="645"/>
      <c r="AG91" s="645"/>
      <c r="AH91" s="645"/>
      <c r="AI91" s="645"/>
      <c r="AJ91" s="645"/>
      <c r="AK91" s="645"/>
      <c r="AL91" s="645"/>
      <c r="AM91" s="645"/>
      <c r="AN91" s="645"/>
      <c r="AO91" s="645"/>
      <c r="AP91" s="645"/>
      <c r="AQ91" s="645"/>
      <c r="AR91" s="645"/>
      <c r="AS91" s="645"/>
      <c r="AT91" s="645"/>
      <c r="AU91" s="645"/>
      <c r="AV91" s="645"/>
      <c r="AW91" s="645"/>
      <c r="AX91" s="645"/>
      <c r="AY91" s="645"/>
      <c r="AZ91" s="645"/>
      <c r="BA91" s="645"/>
      <c r="BB91" s="645"/>
      <c r="BC91" s="645"/>
      <c r="BD91" s="645"/>
      <c r="BE91" s="645"/>
      <c r="BF91" s="645"/>
      <c r="BG91" s="645"/>
      <c r="BH91" s="645"/>
      <c r="BI91" s="645"/>
      <c r="BJ91" s="645"/>
      <c r="BK91" s="645"/>
      <c r="BL91" s="645"/>
      <c r="BM91" s="645"/>
      <c r="BN91" s="645"/>
      <c r="BO91" s="645"/>
      <c r="BP91" s="645"/>
      <c r="BQ91" s="645"/>
      <c r="BR91" s="645"/>
      <c r="BS91" s="645"/>
      <c r="BT91" s="645"/>
      <c r="BU91" s="645"/>
      <c r="BV91" s="645"/>
      <c r="BW91" s="645"/>
      <c r="BX91" s="645"/>
      <c r="BY91" s="645"/>
      <c r="BZ91" s="645"/>
      <c r="CA91" s="645"/>
      <c r="CB91" s="645"/>
      <c r="CC91" s="645"/>
      <c r="CD91" s="645"/>
      <c r="CE91" s="645"/>
      <c r="CF91" s="645"/>
    </row>
    <row r="92" spans="1:84" s="663" customFormat="1" ht="15.75" customHeight="1">
      <c r="A92" s="635">
        <v>86</v>
      </c>
      <c r="B92" s="642"/>
      <c r="C92" s="474" t="s">
        <v>2240</v>
      </c>
      <c r="D92" s="474" t="s">
        <v>2180</v>
      </c>
      <c r="E92" s="633"/>
      <c r="F92" s="580"/>
      <c r="G92" s="660"/>
      <c r="H92" s="660"/>
      <c r="I92" s="660"/>
      <c r="J92" s="664" t="s">
        <v>2170</v>
      </c>
      <c r="K92" s="648">
        <v>1</v>
      </c>
      <c r="L92" s="898"/>
      <c r="M92" s="636"/>
      <c r="N92" s="636"/>
      <c r="O92" s="636"/>
      <c r="P92" s="636"/>
      <c r="Q92" s="898"/>
      <c r="R92" s="898"/>
      <c r="S92" s="636">
        <f t="shared" si="7"/>
        <v>5500</v>
      </c>
      <c r="T92" s="637"/>
      <c r="U92" s="636">
        <f t="shared" si="8"/>
        <v>5500</v>
      </c>
      <c r="V92" s="636" t="str">
        <f t="shared" si="9"/>
        <v/>
      </c>
      <c r="W92" s="522">
        <v>5500</v>
      </c>
      <c r="X92" s="633"/>
      <c r="Y92" s="645"/>
      <c r="Z92" s="645"/>
      <c r="AA92" s="645"/>
      <c r="AB92" s="645"/>
      <c r="AC92" s="645"/>
      <c r="AD92" s="645"/>
      <c r="AE92" s="645"/>
      <c r="AF92" s="645"/>
      <c r="AG92" s="645"/>
      <c r="AH92" s="645"/>
      <c r="AI92" s="645"/>
      <c r="AJ92" s="645"/>
      <c r="AK92" s="645"/>
      <c r="AL92" s="645"/>
      <c r="AM92" s="645"/>
      <c r="AN92" s="645"/>
      <c r="AO92" s="645"/>
      <c r="AP92" s="645"/>
      <c r="AQ92" s="645"/>
      <c r="AR92" s="645"/>
      <c r="AS92" s="645"/>
      <c r="AT92" s="645"/>
      <c r="AU92" s="645"/>
      <c r="AV92" s="645"/>
      <c r="AW92" s="645"/>
      <c r="AX92" s="645"/>
      <c r="AY92" s="645"/>
      <c r="AZ92" s="645"/>
      <c r="BA92" s="645"/>
      <c r="BB92" s="645"/>
      <c r="BC92" s="645"/>
      <c r="BD92" s="645"/>
      <c r="BE92" s="645"/>
      <c r="BF92" s="645"/>
      <c r="BG92" s="645"/>
      <c r="BH92" s="645"/>
      <c r="BI92" s="645"/>
      <c r="BJ92" s="645"/>
      <c r="BK92" s="645"/>
      <c r="BL92" s="645"/>
      <c r="BM92" s="645"/>
      <c r="BN92" s="645"/>
      <c r="BO92" s="645"/>
      <c r="BP92" s="645"/>
      <c r="BQ92" s="645"/>
      <c r="BR92" s="645"/>
      <c r="BS92" s="645"/>
      <c r="BT92" s="645"/>
      <c r="BU92" s="645"/>
      <c r="BV92" s="645"/>
      <c r="BW92" s="645"/>
      <c r="BX92" s="645"/>
      <c r="BY92" s="645"/>
      <c r="BZ92" s="645"/>
      <c r="CA92" s="645"/>
      <c r="CB92" s="645"/>
      <c r="CC92" s="645"/>
      <c r="CD92" s="645"/>
      <c r="CE92" s="645"/>
      <c r="CF92" s="645"/>
    </row>
    <row r="93" spans="1:84" s="663" customFormat="1" ht="15.75" customHeight="1">
      <c r="A93" s="635">
        <v>87</v>
      </c>
      <c r="B93" s="642"/>
      <c r="C93" s="474" t="s">
        <v>2241</v>
      </c>
      <c r="D93" s="474" t="s">
        <v>2201</v>
      </c>
      <c r="E93" s="633"/>
      <c r="F93" s="580"/>
      <c r="G93" s="660"/>
      <c r="H93" s="660"/>
      <c r="I93" s="660"/>
      <c r="J93" s="664" t="s">
        <v>2170</v>
      </c>
      <c r="K93" s="648">
        <v>1</v>
      </c>
      <c r="L93" s="898"/>
      <c r="M93" s="636"/>
      <c r="N93" s="636"/>
      <c r="O93" s="636"/>
      <c r="P93" s="636"/>
      <c r="Q93" s="898"/>
      <c r="R93" s="898"/>
      <c r="S93" s="636">
        <f t="shared" si="7"/>
        <v>3700</v>
      </c>
      <c r="T93" s="637"/>
      <c r="U93" s="636">
        <f t="shared" si="8"/>
        <v>3700</v>
      </c>
      <c r="V93" s="636" t="str">
        <f t="shared" si="9"/>
        <v/>
      </c>
      <c r="W93" s="522">
        <v>3700</v>
      </c>
      <c r="X93" s="633"/>
      <c r="Y93" s="645"/>
      <c r="Z93" s="645"/>
      <c r="AA93" s="645"/>
      <c r="AB93" s="645"/>
      <c r="AC93" s="645"/>
      <c r="AD93" s="645"/>
      <c r="AE93" s="645"/>
      <c r="AF93" s="645"/>
      <c r="AG93" s="645"/>
      <c r="AH93" s="645"/>
      <c r="AI93" s="645"/>
      <c r="AJ93" s="645"/>
      <c r="AK93" s="645"/>
      <c r="AL93" s="645"/>
      <c r="AM93" s="645"/>
      <c r="AN93" s="645"/>
      <c r="AO93" s="645"/>
      <c r="AP93" s="645"/>
      <c r="AQ93" s="645"/>
      <c r="AR93" s="645"/>
      <c r="AS93" s="645"/>
      <c r="AT93" s="645"/>
      <c r="AU93" s="645"/>
      <c r="AV93" s="645"/>
      <c r="AW93" s="645"/>
      <c r="AX93" s="645"/>
      <c r="AY93" s="645"/>
      <c r="AZ93" s="645"/>
      <c r="BA93" s="645"/>
      <c r="BB93" s="645"/>
      <c r="BC93" s="645"/>
      <c r="BD93" s="645"/>
      <c r="BE93" s="645"/>
      <c r="BF93" s="645"/>
      <c r="BG93" s="645"/>
      <c r="BH93" s="645"/>
      <c r="BI93" s="645"/>
      <c r="BJ93" s="645"/>
      <c r="BK93" s="645"/>
      <c r="BL93" s="645"/>
      <c r="BM93" s="645"/>
      <c r="BN93" s="645"/>
      <c r="BO93" s="645"/>
      <c r="BP93" s="645"/>
      <c r="BQ93" s="645"/>
      <c r="BR93" s="645"/>
      <c r="BS93" s="645"/>
      <c r="BT93" s="645"/>
      <c r="BU93" s="645"/>
      <c r="BV93" s="645"/>
      <c r="BW93" s="645"/>
      <c r="BX93" s="645"/>
      <c r="BY93" s="645"/>
      <c r="BZ93" s="645"/>
      <c r="CA93" s="645"/>
      <c r="CB93" s="645"/>
      <c r="CC93" s="645"/>
      <c r="CD93" s="645"/>
      <c r="CE93" s="645"/>
      <c r="CF93" s="645"/>
    </row>
    <row r="94" spans="1:84" s="663" customFormat="1" ht="15.75" customHeight="1">
      <c r="A94" s="635">
        <v>88</v>
      </c>
      <c r="B94" s="642"/>
      <c r="C94" s="474" t="s">
        <v>2242</v>
      </c>
      <c r="D94" s="474" t="s">
        <v>2236</v>
      </c>
      <c r="E94" s="633"/>
      <c r="F94" s="580"/>
      <c r="G94" s="660"/>
      <c r="H94" s="660"/>
      <c r="I94" s="660"/>
      <c r="J94" s="664" t="s">
        <v>2170</v>
      </c>
      <c r="K94" s="648">
        <v>1</v>
      </c>
      <c r="L94" s="898"/>
      <c r="M94" s="636"/>
      <c r="N94" s="636"/>
      <c r="O94" s="636"/>
      <c r="P94" s="636"/>
      <c r="Q94" s="898"/>
      <c r="R94" s="898"/>
      <c r="S94" s="636">
        <f t="shared" si="7"/>
        <v>2300</v>
      </c>
      <c r="T94" s="637"/>
      <c r="U94" s="636">
        <f t="shared" si="8"/>
        <v>2300</v>
      </c>
      <c r="V94" s="636" t="str">
        <f t="shared" si="9"/>
        <v/>
      </c>
      <c r="W94" s="522">
        <v>2300</v>
      </c>
      <c r="X94" s="633"/>
      <c r="Y94" s="645"/>
      <c r="Z94" s="645"/>
      <c r="AA94" s="645"/>
      <c r="AB94" s="645"/>
      <c r="AC94" s="645"/>
      <c r="AD94" s="645"/>
      <c r="AE94" s="645"/>
      <c r="AF94" s="645"/>
      <c r="AG94" s="645"/>
      <c r="AH94" s="645"/>
      <c r="AI94" s="645"/>
      <c r="AJ94" s="645"/>
      <c r="AK94" s="645"/>
      <c r="AL94" s="645"/>
      <c r="AM94" s="645"/>
      <c r="AN94" s="645"/>
      <c r="AO94" s="645"/>
      <c r="AP94" s="645"/>
      <c r="AQ94" s="645"/>
      <c r="AR94" s="645"/>
      <c r="AS94" s="645"/>
      <c r="AT94" s="645"/>
      <c r="AU94" s="645"/>
      <c r="AV94" s="645"/>
      <c r="AW94" s="645"/>
      <c r="AX94" s="645"/>
      <c r="AY94" s="645"/>
      <c r="AZ94" s="645"/>
      <c r="BA94" s="645"/>
      <c r="BB94" s="645"/>
      <c r="BC94" s="645"/>
      <c r="BD94" s="645"/>
      <c r="BE94" s="645"/>
      <c r="BF94" s="645"/>
      <c r="BG94" s="645"/>
      <c r="BH94" s="645"/>
      <c r="BI94" s="645"/>
      <c r="BJ94" s="645"/>
      <c r="BK94" s="645"/>
      <c r="BL94" s="645"/>
      <c r="BM94" s="645"/>
      <c r="BN94" s="645"/>
      <c r="BO94" s="645"/>
      <c r="BP94" s="645"/>
      <c r="BQ94" s="645"/>
      <c r="BR94" s="645"/>
      <c r="BS94" s="645"/>
      <c r="BT94" s="645"/>
      <c r="BU94" s="645"/>
      <c r="BV94" s="645"/>
      <c r="BW94" s="645"/>
      <c r="BX94" s="645"/>
      <c r="BY94" s="645"/>
      <c r="BZ94" s="645"/>
      <c r="CA94" s="645"/>
      <c r="CB94" s="645"/>
      <c r="CC94" s="645"/>
      <c r="CD94" s="645"/>
      <c r="CE94" s="645"/>
      <c r="CF94" s="645"/>
    </row>
    <row r="95" spans="1:84" s="663" customFormat="1" ht="15.75" customHeight="1">
      <c r="A95" s="635">
        <v>89</v>
      </c>
      <c r="B95" s="642"/>
      <c r="C95" s="474" t="s">
        <v>2243</v>
      </c>
      <c r="D95" s="474" t="s">
        <v>2236</v>
      </c>
      <c r="E95" s="633"/>
      <c r="F95" s="580"/>
      <c r="G95" s="660"/>
      <c r="H95" s="660"/>
      <c r="I95" s="660"/>
      <c r="J95" s="664" t="s">
        <v>2170</v>
      </c>
      <c r="K95" s="648">
        <v>1</v>
      </c>
      <c r="L95" s="898"/>
      <c r="M95" s="636"/>
      <c r="N95" s="636"/>
      <c r="O95" s="636"/>
      <c r="P95" s="636"/>
      <c r="Q95" s="898"/>
      <c r="R95" s="898"/>
      <c r="S95" s="636">
        <f t="shared" si="7"/>
        <v>2300</v>
      </c>
      <c r="T95" s="637"/>
      <c r="U95" s="636">
        <f t="shared" si="8"/>
        <v>2300</v>
      </c>
      <c r="V95" s="636" t="str">
        <f t="shared" si="9"/>
        <v/>
      </c>
      <c r="W95" s="522">
        <v>2300</v>
      </c>
      <c r="X95" s="633"/>
      <c r="Y95" s="645"/>
      <c r="Z95" s="645"/>
      <c r="AA95" s="645"/>
      <c r="AB95" s="645"/>
      <c r="AC95" s="645"/>
      <c r="AD95" s="645"/>
      <c r="AE95" s="645"/>
      <c r="AF95" s="645"/>
      <c r="AG95" s="645"/>
      <c r="AH95" s="645"/>
      <c r="AI95" s="645"/>
      <c r="AJ95" s="645"/>
      <c r="AK95" s="645"/>
      <c r="AL95" s="645"/>
      <c r="AM95" s="645"/>
      <c r="AN95" s="645"/>
      <c r="AO95" s="645"/>
      <c r="AP95" s="645"/>
      <c r="AQ95" s="645"/>
      <c r="AR95" s="645"/>
      <c r="AS95" s="645"/>
      <c r="AT95" s="645"/>
      <c r="AU95" s="645"/>
      <c r="AV95" s="645"/>
      <c r="AW95" s="645"/>
      <c r="AX95" s="645"/>
      <c r="AY95" s="645"/>
      <c r="AZ95" s="645"/>
      <c r="BA95" s="645"/>
      <c r="BB95" s="645"/>
      <c r="BC95" s="645"/>
      <c r="BD95" s="645"/>
      <c r="BE95" s="645"/>
      <c r="BF95" s="645"/>
      <c r="BG95" s="645"/>
      <c r="BH95" s="645"/>
      <c r="BI95" s="645"/>
      <c r="BJ95" s="645"/>
      <c r="BK95" s="645"/>
      <c r="BL95" s="645"/>
      <c r="BM95" s="645"/>
      <c r="BN95" s="645"/>
      <c r="BO95" s="645"/>
      <c r="BP95" s="645"/>
      <c r="BQ95" s="645"/>
      <c r="BR95" s="645"/>
      <c r="BS95" s="645"/>
      <c r="BT95" s="645"/>
      <c r="BU95" s="645"/>
      <c r="BV95" s="645"/>
      <c r="BW95" s="645"/>
      <c r="BX95" s="645"/>
      <c r="BY95" s="645"/>
      <c r="BZ95" s="645"/>
      <c r="CA95" s="645"/>
      <c r="CB95" s="645"/>
      <c r="CC95" s="645"/>
      <c r="CD95" s="645"/>
      <c r="CE95" s="645"/>
      <c r="CF95" s="645"/>
    </row>
    <row r="96" spans="1:84" s="663" customFormat="1" ht="15.75" customHeight="1">
      <c r="A96" s="635">
        <v>90</v>
      </c>
      <c r="B96" s="642"/>
      <c r="C96" s="474" t="s">
        <v>2244</v>
      </c>
      <c r="D96" s="474" t="s">
        <v>2180</v>
      </c>
      <c r="E96" s="633"/>
      <c r="F96" s="580"/>
      <c r="G96" s="660"/>
      <c r="H96" s="660"/>
      <c r="I96" s="660"/>
      <c r="J96" s="664" t="s">
        <v>2170</v>
      </c>
      <c r="K96" s="648">
        <v>1</v>
      </c>
      <c r="L96" s="898"/>
      <c r="M96" s="636"/>
      <c r="N96" s="636"/>
      <c r="O96" s="636"/>
      <c r="P96" s="636"/>
      <c r="Q96" s="898"/>
      <c r="R96" s="898"/>
      <c r="S96" s="636">
        <f t="shared" si="7"/>
        <v>5500</v>
      </c>
      <c r="T96" s="637"/>
      <c r="U96" s="636">
        <f t="shared" si="8"/>
        <v>5500</v>
      </c>
      <c r="V96" s="636" t="str">
        <f t="shared" si="9"/>
        <v/>
      </c>
      <c r="W96" s="522">
        <v>5500</v>
      </c>
      <c r="X96" s="633"/>
      <c r="Y96" s="645"/>
      <c r="Z96" s="645"/>
      <c r="AA96" s="645"/>
      <c r="AB96" s="645"/>
      <c r="AC96" s="645"/>
      <c r="AD96" s="645"/>
      <c r="AE96" s="645"/>
      <c r="AF96" s="645"/>
      <c r="AG96" s="645"/>
      <c r="AH96" s="645"/>
      <c r="AI96" s="645"/>
      <c r="AJ96" s="645"/>
      <c r="AK96" s="645"/>
      <c r="AL96" s="645"/>
      <c r="AM96" s="645"/>
      <c r="AN96" s="645"/>
      <c r="AO96" s="645"/>
      <c r="AP96" s="645"/>
      <c r="AQ96" s="645"/>
      <c r="AR96" s="645"/>
      <c r="AS96" s="645"/>
      <c r="AT96" s="645"/>
      <c r="AU96" s="645"/>
      <c r="AV96" s="645"/>
      <c r="AW96" s="645"/>
      <c r="AX96" s="645"/>
      <c r="AY96" s="645"/>
      <c r="AZ96" s="645"/>
      <c r="BA96" s="645"/>
      <c r="BB96" s="645"/>
      <c r="BC96" s="645"/>
      <c r="BD96" s="645"/>
      <c r="BE96" s="645"/>
      <c r="BF96" s="645"/>
      <c r="BG96" s="645"/>
      <c r="BH96" s="645"/>
      <c r="BI96" s="645"/>
      <c r="BJ96" s="645"/>
      <c r="BK96" s="645"/>
      <c r="BL96" s="645"/>
      <c r="BM96" s="645"/>
      <c r="BN96" s="645"/>
      <c r="BO96" s="645"/>
      <c r="BP96" s="645"/>
      <c r="BQ96" s="645"/>
      <c r="BR96" s="645"/>
      <c r="BS96" s="645"/>
      <c r="BT96" s="645"/>
      <c r="BU96" s="645"/>
      <c r="BV96" s="645"/>
      <c r="BW96" s="645"/>
      <c r="BX96" s="645"/>
      <c r="BY96" s="645"/>
      <c r="BZ96" s="645"/>
      <c r="CA96" s="645"/>
      <c r="CB96" s="645"/>
      <c r="CC96" s="645"/>
      <c r="CD96" s="645"/>
      <c r="CE96" s="645"/>
      <c r="CF96" s="645"/>
    </row>
    <row r="97" spans="1:84" s="663" customFormat="1" ht="15.75" customHeight="1">
      <c r="A97" s="635">
        <v>91</v>
      </c>
      <c r="B97" s="642"/>
      <c r="C97" s="474" t="s">
        <v>2245</v>
      </c>
      <c r="D97" s="474" t="s">
        <v>2201</v>
      </c>
      <c r="E97" s="633"/>
      <c r="F97" s="580"/>
      <c r="G97" s="660"/>
      <c r="H97" s="660"/>
      <c r="I97" s="660"/>
      <c r="J97" s="664" t="s">
        <v>2170</v>
      </c>
      <c r="K97" s="648">
        <v>1</v>
      </c>
      <c r="L97" s="898"/>
      <c r="M97" s="636"/>
      <c r="N97" s="636"/>
      <c r="O97" s="636"/>
      <c r="P97" s="636"/>
      <c r="Q97" s="898"/>
      <c r="R97" s="898"/>
      <c r="S97" s="636">
        <f t="shared" si="7"/>
        <v>3700</v>
      </c>
      <c r="T97" s="637"/>
      <c r="U97" s="636">
        <f t="shared" si="8"/>
        <v>3700</v>
      </c>
      <c r="V97" s="636" t="str">
        <f t="shared" si="9"/>
        <v/>
      </c>
      <c r="W97" s="522">
        <v>3700</v>
      </c>
      <c r="X97" s="633"/>
      <c r="Y97" s="645"/>
      <c r="Z97" s="645"/>
      <c r="AA97" s="645"/>
      <c r="AB97" s="645"/>
      <c r="AC97" s="645"/>
      <c r="AD97" s="645"/>
      <c r="AE97" s="645"/>
      <c r="AF97" s="645"/>
      <c r="AG97" s="645"/>
      <c r="AH97" s="645"/>
      <c r="AI97" s="645"/>
      <c r="AJ97" s="645"/>
      <c r="AK97" s="645"/>
      <c r="AL97" s="645"/>
      <c r="AM97" s="645"/>
      <c r="AN97" s="645"/>
      <c r="AO97" s="645"/>
      <c r="AP97" s="645"/>
      <c r="AQ97" s="645"/>
      <c r="AR97" s="645"/>
      <c r="AS97" s="645"/>
      <c r="AT97" s="645"/>
      <c r="AU97" s="645"/>
      <c r="AV97" s="645"/>
      <c r="AW97" s="645"/>
      <c r="AX97" s="645"/>
      <c r="AY97" s="645"/>
      <c r="AZ97" s="645"/>
      <c r="BA97" s="645"/>
      <c r="BB97" s="645"/>
      <c r="BC97" s="645"/>
      <c r="BD97" s="645"/>
      <c r="BE97" s="645"/>
      <c r="BF97" s="645"/>
      <c r="BG97" s="645"/>
      <c r="BH97" s="645"/>
      <c r="BI97" s="645"/>
      <c r="BJ97" s="645"/>
      <c r="BK97" s="645"/>
      <c r="BL97" s="645"/>
      <c r="BM97" s="645"/>
      <c r="BN97" s="645"/>
      <c r="BO97" s="645"/>
      <c r="BP97" s="645"/>
      <c r="BQ97" s="645"/>
      <c r="BR97" s="645"/>
      <c r="BS97" s="645"/>
      <c r="BT97" s="645"/>
      <c r="BU97" s="645"/>
      <c r="BV97" s="645"/>
      <c r="BW97" s="645"/>
      <c r="BX97" s="645"/>
      <c r="BY97" s="645"/>
      <c r="BZ97" s="645"/>
      <c r="CA97" s="645"/>
      <c r="CB97" s="645"/>
      <c r="CC97" s="645"/>
      <c r="CD97" s="645"/>
      <c r="CE97" s="645"/>
      <c r="CF97" s="645"/>
    </row>
    <row r="98" spans="1:84" s="663" customFormat="1" ht="15.75" customHeight="1">
      <c r="A98" s="635">
        <v>92</v>
      </c>
      <c r="B98" s="642"/>
      <c r="C98" s="474" t="s">
        <v>2246</v>
      </c>
      <c r="D98" s="474" t="s">
        <v>2180</v>
      </c>
      <c r="E98" s="633"/>
      <c r="F98" s="580"/>
      <c r="G98" s="660"/>
      <c r="H98" s="660"/>
      <c r="I98" s="660"/>
      <c r="J98" s="664" t="s">
        <v>2170</v>
      </c>
      <c r="K98" s="648">
        <v>1</v>
      </c>
      <c r="L98" s="898"/>
      <c r="M98" s="636"/>
      <c r="N98" s="636"/>
      <c r="O98" s="636"/>
      <c r="P98" s="636"/>
      <c r="Q98" s="898"/>
      <c r="R98" s="898"/>
      <c r="S98" s="636">
        <f t="shared" ref="S98:S144" si="10">K98*W98</f>
        <v>5500</v>
      </c>
      <c r="T98" s="637"/>
      <c r="U98" s="636">
        <f t="shared" si="8"/>
        <v>5500</v>
      </c>
      <c r="V98" s="636" t="str">
        <f t="shared" si="9"/>
        <v/>
      </c>
      <c r="W98" s="522">
        <v>5500</v>
      </c>
      <c r="X98" s="633"/>
      <c r="Y98" s="645"/>
      <c r="Z98" s="645"/>
      <c r="AA98" s="645"/>
      <c r="AB98" s="645"/>
      <c r="AC98" s="645"/>
      <c r="AD98" s="645"/>
      <c r="AE98" s="645"/>
      <c r="AF98" s="645"/>
      <c r="AG98" s="645"/>
      <c r="AH98" s="645"/>
      <c r="AI98" s="645"/>
      <c r="AJ98" s="645"/>
      <c r="AK98" s="645"/>
      <c r="AL98" s="645"/>
      <c r="AM98" s="645"/>
      <c r="AN98" s="645"/>
      <c r="AO98" s="645"/>
      <c r="AP98" s="645"/>
      <c r="AQ98" s="645"/>
      <c r="AR98" s="645"/>
      <c r="AS98" s="645"/>
      <c r="AT98" s="645"/>
      <c r="AU98" s="645"/>
      <c r="AV98" s="645"/>
      <c r="AW98" s="645"/>
      <c r="AX98" s="645"/>
      <c r="AY98" s="645"/>
      <c r="AZ98" s="645"/>
      <c r="BA98" s="645"/>
      <c r="BB98" s="645"/>
      <c r="BC98" s="645"/>
      <c r="BD98" s="645"/>
      <c r="BE98" s="645"/>
      <c r="BF98" s="645"/>
      <c r="BG98" s="645"/>
      <c r="BH98" s="645"/>
      <c r="BI98" s="645"/>
      <c r="BJ98" s="645"/>
      <c r="BK98" s="645"/>
      <c r="BL98" s="645"/>
      <c r="BM98" s="645"/>
      <c r="BN98" s="645"/>
      <c r="BO98" s="645"/>
      <c r="BP98" s="645"/>
      <c r="BQ98" s="645"/>
      <c r="BR98" s="645"/>
      <c r="BS98" s="645"/>
      <c r="BT98" s="645"/>
      <c r="BU98" s="645"/>
      <c r="BV98" s="645"/>
      <c r="BW98" s="645"/>
      <c r="BX98" s="645"/>
      <c r="BY98" s="645"/>
      <c r="BZ98" s="645"/>
      <c r="CA98" s="645"/>
      <c r="CB98" s="645"/>
      <c r="CC98" s="645"/>
      <c r="CD98" s="645"/>
      <c r="CE98" s="645"/>
      <c r="CF98" s="645"/>
    </row>
    <row r="99" spans="1:84" s="663" customFormat="1" ht="15.75" customHeight="1">
      <c r="A99" s="635">
        <v>93</v>
      </c>
      <c r="B99" s="642"/>
      <c r="C99" s="474" t="s">
        <v>2247</v>
      </c>
      <c r="D99" s="474" t="s">
        <v>2248</v>
      </c>
      <c r="E99" s="633"/>
      <c r="F99" s="580"/>
      <c r="G99" s="660"/>
      <c r="H99" s="660"/>
      <c r="I99" s="660"/>
      <c r="J99" s="664" t="s">
        <v>2170</v>
      </c>
      <c r="K99" s="648">
        <v>1</v>
      </c>
      <c r="L99" s="898"/>
      <c r="M99" s="636"/>
      <c r="N99" s="636"/>
      <c r="O99" s="636"/>
      <c r="P99" s="636"/>
      <c r="Q99" s="898"/>
      <c r="R99" s="898"/>
      <c r="S99" s="636">
        <f t="shared" si="10"/>
        <v>2300</v>
      </c>
      <c r="T99" s="637"/>
      <c r="U99" s="636">
        <f t="shared" si="8"/>
        <v>2300</v>
      </c>
      <c r="V99" s="636" t="str">
        <f t="shared" si="9"/>
        <v/>
      </c>
      <c r="W99" s="522">
        <v>2300</v>
      </c>
      <c r="X99" s="633"/>
      <c r="Y99" s="645"/>
      <c r="Z99" s="645"/>
      <c r="AA99" s="645"/>
      <c r="AB99" s="645"/>
      <c r="AC99" s="645"/>
      <c r="AD99" s="645"/>
      <c r="AE99" s="645"/>
      <c r="AF99" s="645"/>
      <c r="AG99" s="645"/>
      <c r="AH99" s="645"/>
      <c r="AI99" s="645"/>
      <c r="AJ99" s="645"/>
      <c r="AK99" s="645"/>
      <c r="AL99" s="645"/>
      <c r="AM99" s="645"/>
      <c r="AN99" s="645"/>
      <c r="AO99" s="645"/>
      <c r="AP99" s="645"/>
      <c r="AQ99" s="645"/>
      <c r="AR99" s="645"/>
      <c r="AS99" s="645"/>
      <c r="AT99" s="645"/>
      <c r="AU99" s="645"/>
      <c r="AV99" s="645"/>
      <c r="AW99" s="645"/>
      <c r="AX99" s="645"/>
      <c r="AY99" s="645"/>
      <c r="AZ99" s="645"/>
      <c r="BA99" s="645"/>
      <c r="BB99" s="645"/>
      <c r="BC99" s="645"/>
      <c r="BD99" s="645"/>
      <c r="BE99" s="645"/>
      <c r="BF99" s="645"/>
      <c r="BG99" s="645"/>
      <c r="BH99" s="645"/>
      <c r="BI99" s="645"/>
      <c r="BJ99" s="645"/>
      <c r="BK99" s="645"/>
      <c r="BL99" s="645"/>
      <c r="BM99" s="645"/>
      <c r="BN99" s="645"/>
      <c r="BO99" s="645"/>
      <c r="BP99" s="645"/>
      <c r="BQ99" s="645"/>
      <c r="BR99" s="645"/>
      <c r="BS99" s="645"/>
      <c r="BT99" s="645"/>
      <c r="BU99" s="645"/>
      <c r="BV99" s="645"/>
      <c r="BW99" s="645"/>
      <c r="BX99" s="645"/>
      <c r="BY99" s="645"/>
      <c r="BZ99" s="645"/>
      <c r="CA99" s="645"/>
      <c r="CB99" s="645"/>
      <c r="CC99" s="645"/>
      <c r="CD99" s="645"/>
      <c r="CE99" s="645"/>
      <c r="CF99" s="645"/>
    </row>
    <row r="100" spans="1:84" s="663" customFormat="1" ht="15.75" customHeight="1">
      <c r="A100" s="635">
        <v>94</v>
      </c>
      <c r="B100" s="642"/>
      <c r="C100" s="474" t="s">
        <v>2249</v>
      </c>
      <c r="D100" s="474" t="s">
        <v>2236</v>
      </c>
      <c r="E100" s="633"/>
      <c r="F100" s="580"/>
      <c r="G100" s="660"/>
      <c r="H100" s="660"/>
      <c r="I100" s="660"/>
      <c r="J100" s="664" t="s">
        <v>2170</v>
      </c>
      <c r="K100" s="648">
        <v>1</v>
      </c>
      <c r="L100" s="898"/>
      <c r="M100" s="636"/>
      <c r="N100" s="636"/>
      <c r="O100" s="636"/>
      <c r="P100" s="636"/>
      <c r="Q100" s="898"/>
      <c r="R100" s="898"/>
      <c r="S100" s="636">
        <f t="shared" si="10"/>
        <v>2300</v>
      </c>
      <c r="T100" s="637"/>
      <c r="U100" s="636">
        <f t="shared" si="8"/>
        <v>2300</v>
      </c>
      <c r="V100" s="636" t="str">
        <f t="shared" si="9"/>
        <v/>
      </c>
      <c r="W100" s="522">
        <v>2300</v>
      </c>
      <c r="X100" s="633"/>
      <c r="Y100" s="645"/>
      <c r="Z100" s="645"/>
      <c r="AA100" s="645"/>
      <c r="AB100" s="645"/>
      <c r="AC100" s="645"/>
      <c r="AD100" s="645"/>
      <c r="AE100" s="645"/>
      <c r="AF100" s="645"/>
      <c r="AG100" s="645"/>
      <c r="AH100" s="645"/>
      <c r="AI100" s="645"/>
      <c r="AJ100" s="645"/>
      <c r="AK100" s="645"/>
      <c r="AL100" s="645"/>
      <c r="AM100" s="645"/>
      <c r="AN100" s="645"/>
      <c r="AO100" s="645"/>
      <c r="AP100" s="645"/>
      <c r="AQ100" s="645"/>
      <c r="AR100" s="645"/>
      <c r="AS100" s="645"/>
      <c r="AT100" s="645"/>
      <c r="AU100" s="645"/>
      <c r="AV100" s="645"/>
      <c r="AW100" s="645"/>
      <c r="AX100" s="645"/>
      <c r="AY100" s="645"/>
      <c r="AZ100" s="645"/>
      <c r="BA100" s="645"/>
      <c r="BB100" s="645"/>
      <c r="BC100" s="645"/>
      <c r="BD100" s="645"/>
      <c r="BE100" s="645"/>
      <c r="BF100" s="645"/>
      <c r="BG100" s="645"/>
      <c r="BH100" s="645"/>
      <c r="BI100" s="645"/>
      <c r="BJ100" s="645"/>
      <c r="BK100" s="645"/>
      <c r="BL100" s="645"/>
      <c r="BM100" s="645"/>
      <c r="BN100" s="645"/>
      <c r="BO100" s="645"/>
      <c r="BP100" s="645"/>
      <c r="BQ100" s="645"/>
      <c r="BR100" s="645"/>
      <c r="BS100" s="645"/>
      <c r="BT100" s="645"/>
      <c r="BU100" s="645"/>
      <c r="BV100" s="645"/>
      <c r="BW100" s="645"/>
      <c r="BX100" s="645"/>
      <c r="BY100" s="645"/>
      <c r="BZ100" s="645"/>
      <c r="CA100" s="645"/>
      <c r="CB100" s="645"/>
      <c r="CC100" s="645"/>
      <c r="CD100" s="645"/>
      <c r="CE100" s="645"/>
      <c r="CF100" s="645"/>
    </row>
    <row r="101" spans="1:84" s="663" customFormat="1" ht="15.75" customHeight="1">
      <c r="A101" s="635">
        <v>95</v>
      </c>
      <c r="B101" s="642"/>
      <c r="C101" s="474" t="s">
        <v>2250</v>
      </c>
      <c r="D101" s="474" t="s">
        <v>2236</v>
      </c>
      <c r="E101" s="633"/>
      <c r="F101" s="580"/>
      <c r="G101" s="660"/>
      <c r="H101" s="660"/>
      <c r="I101" s="660"/>
      <c r="J101" s="664" t="s">
        <v>2170</v>
      </c>
      <c r="K101" s="648">
        <v>1</v>
      </c>
      <c r="L101" s="898"/>
      <c r="M101" s="636"/>
      <c r="N101" s="636"/>
      <c r="O101" s="636"/>
      <c r="P101" s="636"/>
      <c r="Q101" s="898"/>
      <c r="R101" s="898"/>
      <c r="S101" s="636">
        <f t="shared" si="10"/>
        <v>2300</v>
      </c>
      <c r="T101" s="637"/>
      <c r="U101" s="636">
        <f t="shared" si="8"/>
        <v>2300</v>
      </c>
      <c r="V101" s="636" t="str">
        <f t="shared" si="9"/>
        <v/>
      </c>
      <c r="W101" s="522">
        <v>2300</v>
      </c>
      <c r="X101" s="633"/>
      <c r="Y101" s="645"/>
      <c r="Z101" s="645"/>
      <c r="AA101" s="645"/>
      <c r="AB101" s="645"/>
      <c r="AC101" s="645"/>
      <c r="AD101" s="645"/>
      <c r="AE101" s="645"/>
      <c r="AF101" s="645"/>
      <c r="AG101" s="645"/>
      <c r="AH101" s="645"/>
      <c r="AI101" s="645"/>
      <c r="AJ101" s="645"/>
      <c r="AK101" s="645"/>
      <c r="AL101" s="645"/>
      <c r="AM101" s="645"/>
      <c r="AN101" s="645"/>
      <c r="AO101" s="645"/>
      <c r="AP101" s="645"/>
      <c r="AQ101" s="645"/>
      <c r="AR101" s="645"/>
      <c r="AS101" s="645"/>
      <c r="AT101" s="645"/>
      <c r="AU101" s="645"/>
      <c r="AV101" s="645"/>
      <c r="AW101" s="645"/>
      <c r="AX101" s="645"/>
      <c r="AY101" s="645"/>
      <c r="AZ101" s="645"/>
      <c r="BA101" s="645"/>
      <c r="BB101" s="645"/>
      <c r="BC101" s="645"/>
      <c r="BD101" s="645"/>
      <c r="BE101" s="645"/>
      <c r="BF101" s="645"/>
      <c r="BG101" s="645"/>
      <c r="BH101" s="645"/>
      <c r="BI101" s="645"/>
      <c r="BJ101" s="645"/>
      <c r="BK101" s="645"/>
      <c r="BL101" s="645"/>
      <c r="BM101" s="645"/>
      <c r="BN101" s="645"/>
      <c r="BO101" s="645"/>
      <c r="BP101" s="645"/>
      <c r="BQ101" s="645"/>
      <c r="BR101" s="645"/>
      <c r="BS101" s="645"/>
      <c r="BT101" s="645"/>
      <c r="BU101" s="645"/>
      <c r="BV101" s="645"/>
      <c r="BW101" s="645"/>
      <c r="BX101" s="645"/>
      <c r="BY101" s="645"/>
      <c r="BZ101" s="645"/>
      <c r="CA101" s="645"/>
      <c r="CB101" s="645"/>
      <c r="CC101" s="645"/>
      <c r="CD101" s="645"/>
      <c r="CE101" s="645"/>
      <c r="CF101" s="645"/>
    </row>
    <row r="102" spans="1:84" s="663" customFormat="1" ht="15.75" customHeight="1">
      <c r="A102" s="635">
        <v>96</v>
      </c>
      <c r="B102" s="642"/>
      <c r="C102" s="474" t="s">
        <v>2251</v>
      </c>
      <c r="D102" s="474" t="s">
        <v>2236</v>
      </c>
      <c r="E102" s="633"/>
      <c r="F102" s="580"/>
      <c r="G102" s="660"/>
      <c r="H102" s="660"/>
      <c r="I102" s="660"/>
      <c r="J102" s="664" t="s">
        <v>2170</v>
      </c>
      <c r="K102" s="648">
        <v>1</v>
      </c>
      <c r="L102" s="898"/>
      <c r="M102" s="636"/>
      <c r="N102" s="636"/>
      <c r="O102" s="636"/>
      <c r="P102" s="636"/>
      <c r="Q102" s="898"/>
      <c r="R102" s="898"/>
      <c r="S102" s="636">
        <f t="shared" si="10"/>
        <v>2300</v>
      </c>
      <c r="T102" s="637"/>
      <c r="U102" s="636">
        <f t="shared" si="8"/>
        <v>2300</v>
      </c>
      <c r="V102" s="636" t="str">
        <f t="shared" si="9"/>
        <v/>
      </c>
      <c r="W102" s="522">
        <v>2300</v>
      </c>
      <c r="X102" s="633"/>
      <c r="Y102" s="645"/>
      <c r="Z102" s="645"/>
      <c r="AA102" s="645"/>
      <c r="AB102" s="645"/>
      <c r="AC102" s="645"/>
      <c r="AD102" s="645"/>
      <c r="AE102" s="645"/>
      <c r="AF102" s="645"/>
      <c r="AG102" s="645"/>
      <c r="AH102" s="645"/>
      <c r="AI102" s="645"/>
      <c r="AJ102" s="645"/>
      <c r="AK102" s="645"/>
      <c r="AL102" s="645"/>
      <c r="AM102" s="645"/>
      <c r="AN102" s="645"/>
      <c r="AO102" s="645"/>
      <c r="AP102" s="645"/>
      <c r="AQ102" s="645"/>
      <c r="AR102" s="645"/>
      <c r="AS102" s="645"/>
      <c r="AT102" s="645"/>
      <c r="AU102" s="645"/>
      <c r="AV102" s="645"/>
      <c r="AW102" s="645"/>
      <c r="AX102" s="645"/>
      <c r="AY102" s="645"/>
      <c r="AZ102" s="645"/>
      <c r="BA102" s="645"/>
      <c r="BB102" s="645"/>
      <c r="BC102" s="645"/>
      <c r="BD102" s="645"/>
      <c r="BE102" s="645"/>
      <c r="BF102" s="645"/>
      <c r="BG102" s="645"/>
      <c r="BH102" s="645"/>
      <c r="BI102" s="645"/>
      <c r="BJ102" s="645"/>
      <c r="BK102" s="645"/>
      <c r="BL102" s="645"/>
      <c r="BM102" s="645"/>
      <c r="BN102" s="645"/>
      <c r="BO102" s="645"/>
      <c r="BP102" s="645"/>
      <c r="BQ102" s="645"/>
      <c r="BR102" s="645"/>
      <c r="BS102" s="645"/>
      <c r="BT102" s="645"/>
      <c r="BU102" s="645"/>
      <c r="BV102" s="645"/>
      <c r="BW102" s="645"/>
      <c r="BX102" s="645"/>
      <c r="BY102" s="645"/>
      <c r="BZ102" s="645"/>
      <c r="CA102" s="645"/>
      <c r="CB102" s="645"/>
      <c r="CC102" s="645"/>
      <c r="CD102" s="645"/>
      <c r="CE102" s="645"/>
      <c r="CF102" s="645"/>
    </row>
    <row r="103" spans="1:84" s="663" customFormat="1" ht="15.75" customHeight="1">
      <c r="A103" s="635">
        <v>97</v>
      </c>
      <c r="B103" s="642"/>
      <c r="C103" s="474" t="s">
        <v>2252</v>
      </c>
      <c r="D103" s="474" t="s">
        <v>2176</v>
      </c>
      <c r="E103" s="633"/>
      <c r="F103" s="580"/>
      <c r="G103" s="660"/>
      <c r="H103" s="660"/>
      <c r="I103" s="660"/>
      <c r="J103" s="664" t="s">
        <v>2170</v>
      </c>
      <c r="K103" s="648">
        <v>1</v>
      </c>
      <c r="L103" s="898"/>
      <c r="M103" s="636"/>
      <c r="N103" s="636"/>
      <c r="O103" s="636"/>
      <c r="P103" s="636"/>
      <c r="Q103" s="898"/>
      <c r="R103" s="898"/>
      <c r="S103" s="636">
        <f t="shared" si="10"/>
        <v>1800</v>
      </c>
      <c r="T103" s="637"/>
      <c r="U103" s="636">
        <f t="shared" si="8"/>
        <v>1800</v>
      </c>
      <c r="V103" s="636" t="str">
        <f t="shared" si="9"/>
        <v/>
      </c>
      <c r="W103" s="522">
        <v>1800</v>
      </c>
      <c r="X103" s="633"/>
      <c r="Y103" s="645"/>
      <c r="Z103" s="645"/>
      <c r="AA103" s="645"/>
      <c r="AB103" s="645"/>
      <c r="AC103" s="645"/>
      <c r="AD103" s="645"/>
      <c r="AE103" s="645"/>
      <c r="AF103" s="645"/>
      <c r="AG103" s="645"/>
      <c r="AH103" s="645"/>
      <c r="AI103" s="645"/>
      <c r="AJ103" s="645"/>
      <c r="AK103" s="645"/>
      <c r="AL103" s="645"/>
      <c r="AM103" s="645"/>
      <c r="AN103" s="645"/>
      <c r="AO103" s="645"/>
      <c r="AP103" s="645"/>
      <c r="AQ103" s="645"/>
      <c r="AR103" s="645"/>
      <c r="AS103" s="645"/>
      <c r="AT103" s="645"/>
      <c r="AU103" s="645"/>
      <c r="AV103" s="645"/>
      <c r="AW103" s="645"/>
      <c r="AX103" s="645"/>
      <c r="AY103" s="645"/>
      <c r="AZ103" s="645"/>
      <c r="BA103" s="645"/>
      <c r="BB103" s="645"/>
      <c r="BC103" s="645"/>
      <c r="BD103" s="645"/>
      <c r="BE103" s="645"/>
      <c r="BF103" s="645"/>
      <c r="BG103" s="645"/>
      <c r="BH103" s="645"/>
      <c r="BI103" s="645"/>
      <c r="BJ103" s="645"/>
      <c r="BK103" s="645"/>
      <c r="BL103" s="645"/>
      <c r="BM103" s="645"/>
      <c r="BN103" s="645"/>
      <c r="BO103" s="645"/>
      <c r="BP103" s="645"/>
      <c r="BQ103" s="645"/>
      <c r="BR103" s="645"/>
      <c r="BS103" s="645"/>
      <c r="BT103" s="645"/>
      <c r="BU103" s="645"/>
      <c r="BV103" s="645"/>
      <c r="BW103" s="645"/>
      <c r="BX103" s="645"/>
      <c r="BY103" s="645"/>
      <c r="BZ103" s="645"/>
      <c r="CA103" s="645"/>
      <c r="CB103" s="645"/>
      <c r="CC103" s="645"/>
      <c r="CD103" s="645"/>
      <c r="CE103" s="645"/>
      <c r="CF103" s="645"/>
    </row>
    <row r="104" spans="1:84" s="663" customFormat="1" ht="15.75" customHeight="1">
      <c r="A104" s="635">
        <v>98</v>
      </c>
      <c r="B104" s="642"/>
      <c r="C104" s="474" t="s">
        <v>2253</v>
      </c>
      <c r="D104" s="474" t="s">
        <v>2176</v>
      </c>
      <c r="E104" s="633"/>
      <c r="F104" s="580"/>
      <c r="G104" s="660"/>
      <c r="H104" s="660"/>
      <c r="I104" s="660"/>
      <c r="J104" s="664" t="s">
        <v>2170</v>
      </c>
      <c r="K104" s="648">
        <v>1</v>
      </c>
      <c r="L104" s="898"/>
      <c r="M104" s="636"/>
      <c r="N104" s="636"/>
      <c r="O104" s="636"/>
      <c r="P104" s="636"/>
      <c r="Q104" s="898"/>
      <c r="R104" s="898"/>
      <c r="S104" s="636">
        <f t="shared" si="10"/>
        <v>1800</v>
      </c>
      <c r="T104" s="637"/>
      <c r="U104" s="636">
        <f t="shared" si="8"/>
        <v>1800</v>
      </c>
      <c r="V104" s="636" t="str">
        <f t="shared" si="9"/>
        <v/>
      </c>
      <c r="W104" s="522">
        <v>1800</v>
      </c>
      <c r="X104" s="633"/>
      <c r="Y104" s="645"/>
      <c r="Z104" s="645"/>
      <c r="AA104" s="645"/>
      <c r="AB104" s="645"/>
      <c r="AC104" s="645"/>
      <c r="AD104" s="645"/>
      <c r="AE104" s="645"/>
      <c r="AF104" s="645"/>
      <c r="AG104" s="645"/>
      <c r="AH104" s="645"/>
      <c r="AI104" s="645"/>
      <c r="AJ104" s="645"/>
      <c r="AK104" s="645"/>
      <c r="AL104" s="645"/>
      <c r="AM104" s="645"/>
      <c r="AN104" s="645"/>
      <c r="AO104" s="645"/>
      <c r="AP104" s="645"/>
      <c r="AQ104" s="645"/>
      <c r="AR104" s="645"/>
      <c r="AS104" s="645"/>
      <c r="AT104" s="645"/>
      <c r="AU104" s="645"/>
      <c r="AV104" s="645"/>
      <c r="AW104" s="645"/>
      <c r="AX104" s="645"/>
      <c r="AY104" s="645"/>
      <c r="AZ104" s="645"/>
      <c r="BA104" s="645"/>
      <c r="BB104" s="645"/>
      <c r="BC104" s="645"/>
      <c r="BD104" s="645"/>
      <c r="BE104" s="645"/>
      <c r="BF104" s="645"/>
      <c r="BG104" s="645"/>
      <c r="BH104" s="645"/>
      <c r="BI104" s="645"/>
      <c r="BJ104" s="645"/>
      <c r="BK104" s="645"/>
      <c r="BL104" s="645"/>
      <c r="BM104" s="645"/>
      <c r="BN104" s="645"/>
      <c r="BO104" s="645"/>
      <c r="BP104" s="645"/>
      <c r="BQ104" s="645"/>
      <c r="BR104" s="645"/>
      <c r="BS104" s="645"/>
      <c r="BT104" s="645"/>
      <c r="BU104" s="645"/>
      <c r="BV104" s="645"/>
      <c r="BW104" s="645"/>
      <c r="BX104" s="645"/>
      <c r="BY104" s="645"/>
      <c r="BZ104" s="645"/>
      <c r="CA104" s="645"/>
      <c r="CB104" s="645"/>
      <c r="CC104" s="645"/>
      <c r="CD104" s="645"/>
      <c r="CE104" s="645"/>
      <c r="CF104" s="645"/>
    </row>
    <row r="105" spans="1:84" s="663" customFormat="1" ht="15.75" customHeight="1">
      <c r="A105" s="635">
        <v>99</v>
      </c>
      <c r="B105" s="642"/>
      <c r="C105" s="474" t="s">
        <v>2254</v>
      </c>
      <c r="D105" s="474" t="s">
        <v>2176</v>
      </c>
      <c r="E105" s="633"/>
      <c r="F105" s="580"/>
      <c r="G105" s="660"/>
      <c r="H105" s="660"/>
      <c r="I105" s="660"/>
      <c r="J105" s="664" t="s">
        <v>2255</v>
      </c>
      <c r="K105" s="648">
        <v>1</v>
      </c>
      <c r="L105" s="898"/>
      <c r="M105" s="636"/>
      <c r="N105" s="636"/>
      <c r="O105" s="636"/>
      <c r="P105" s="636"/>
      <c r="Q105" s="898"/>
      <c r="R105" s="898"/>
      <c r="S105" s="636">
        <f t="shared" si="10"/>
        <v>1800</v>
      </c>
      <c r="T105" s="637"/>
      <c r="U105" s="636">
        <f t="shared" si="8"/>
        <v>1800</v>
      </c>
      <c r="V105" s="636" t="str">
        <f t="shared" si="9"/>
        <v/>
      </c>
      <c r="W105" s="522">
        <v>1800</v>
      </c>
      <c r="X105" s="633"/>
      <c r="Y105" s="645"/>
      <c r="Z105" s="645"/>
      <c r="AA105" s="645"/>
      <c r="AB105" s="645"/>
      <c r="AC105" s="645"/>
      <c r="AD105" s="645"/>
      <c r="AE105" s="645"/>
      <c r="AF105" s="645"/>
      <c r="AG105" s="645"/>
      <c r="AH105" s="645"/>
      <c r="AI105" s="645"/>
      <c r="AJ105" s="645"/>
      <c r="AK105" s="645"/>
      <c r="AL105" s="645"/>
      <c r="AM105" s="645"/>
      <c r="AN105" s="645"/>
      <c r="AO105" s="645"/>
      <c r="AP105" s="645"/>
      <c r="AQ105" s="645"/>
      <c r="AR105" s="645"/>
      <c r="AS105" s="645"/>
      <c r="AT105" s="645"/>
      <c r="AU105" s="645"/>
      <c r="AV105" s="645"/>
      <c r="AW105" s="645"/>
      <c r="AX105" s="645"/>
      <c r="AY105" s="645"/>
      <c r="AZ105" s="645"/>
      <c r="BA105" s="645"/>
      <c r="BB105" s="645"/>
      <c r="BC105" s="645"/>
      <c r="BD105" s="645"/>
      <c r="BE105" s="645"/>
      <c r="BF105" s="645"/>
      <c r="BG105" s="645"/>
      <c r="BH105" s="645"/>
      <c r="BI105" s="645"/>
      <c r="BJ105" s="645"/>
      <c r="BK105" s="645"/>
      <c r="BL105" s="645"/>
      <c r="BM105" s="645"/>
      <c r="BN105" s="645"/>
      <c r="BO105" s="645"/>
      <c r="BP105" s="645"/>
      <c r="BQ105" s="645"/>
      <c r="BR105" s="645"/>
      <c r="BS105" s="645"/>
      <c r="BT105" s="645"/>
      <c r="BU105" s="645"/>
      <c r="BV105" s="645"/>
      <c r="BW105" s="645"/>
      <c r="BX105" s="645"/>
      <c r="BY105" s="645"/>
      <c r="BZ105" s="645"/>
      <c r="CA105" s="645"/>
      <c r="CB105" s="645"/>
      <c r="CC105" s="645"/>
      <c r="CD105" s="645"/>
      <c r="CE105" s="645"/>
      <c r="CF105" s="645"/>
    </row>
    <row r="106" spans="1:84" s="663" customFormat="1" ht="15.75" customHeight="1">
      <c r="A106" s="635">
        <v>100</v>
      </c>
      <c r="B106" s="642"/>
      <c r="C106" s="474" t="s">
        <v>2256</v>
      </c>
      <c r="D106" s="474" t="s">
        <v>2176</v>
      </c>
      <c r="E106" s="633"/>
      <c r="F106" s="580"/>
      <c r="G106" s="660"/>
      <c r="H106" s="660"/>
      <c r="I106" s="660"/>
      <c r="J106" s="664" t="s">
        <v>2255</v>
      </c>
      <c r="K106" s="648">
        <v>1</v>
      </c>
      <c r="L106" s="898"/>
      <c r="M106" s="636"/>
      <c r="N106" s="636"/>
      <c r="O106" s="636"/>
      <c r="P106" s="636"/>
      <c r="Q106" s="898"/>
      <c r="R106" s="898"/>
      <c r="S106" s="636">
        <f t="shared" si="10"/>
        <v>1800</v>
      </c>
      <c r="T106" s="637"/>
      <c r="U106" s="636">
        <f t="shared" si="8"/>
        <v>1800</v>
      </c>
      <c r="V106" s="636" t="str">
        <f t="shared" si="9"/>
        <v/>
      </c>
      <c r="W106" s="522">
        <v>1800</v>
      </c>
      <c r="X106" s="633"/>
      <c r="Y106" s="645"/>
      <c r="Z106" s="645"/>
      <c r="AA106" s="645"/>
      <c r="AB106" s="645"/>
      <c r="AC106" s="645"/>
      <c r="AD106" s="645"/>
      <c r="AE106" s="645"/>
      <c r="AF106" s="645"/>
      <c r="AG106" s="645"/>
      <c r="AH106" s="645"/>
      <c r="AI106" s="645"/>
      <c r="AJ106" s="645"/>
      <c r="AK106" s="645"/>
      <c r="AL106" s="645"/>
      <c r="AM106" s="645"/>
      <c r="AN106" s="645"/>
      <c r="AO106" s="645"/>
      <c r="AP106" s="645"/>
      <c r="AQ106" s="645"/>
      <c r="AR106" s="645"/>
      <c r="AS106" s="645"/>
      <c r="AT106" s="645"/>
      <c r="AU106" s="645"/>
      <c r="AV106" s="645"/>
      <c r="AW106" s="645"/>
      <c r="AX106" s="645"/>
      <c r="AY106" s="645"/>
      <c r="AZ106" s="645"/>
      <c r="BA106" s="645"/>
      <c r="BB106" s="645"/>
      <c r="BC106" s="645"/>
      <c r="BD106" s="645"/>
      <c r="BE106" s="645"/>
      <c r="BF106" s="645"/>
      <c r="BG106" s="645"/>
      <c r="BH106" s="645"/>
      <c r="BI106" s="645"/>
      <c r="BJ106" s="645"/>
      <c r="BK106" s="645"/>
      <c r="BL106" s="645"/>
      <c r="BM106" s="645"/>
      <c r="BN106" s="645"/>
      <c r="BO106" s="645"/>
      <c r="BP106" s="645"/>
      <c r="BQ106" s="645"/>
      <c r="BR106" s="645"/>
      <c r="BS106" s="645"/>
      <c r="BT106" s="645"/>
      <c r="BU106" s="645"/>
      <c r="BV106" s="645"/>
      <c r="BW106" s="645"/>
      <c r="BX106" s="645"/>
      <c r="BY106" s="645"/>
      <c r="BZ106" s="645"/>
      <c r="CA106" s="645"/>
      <c r="CB106" s="645"/>
      <c r="CC106" s="645"/>
      <c r="CD106" s="645"/>
      <c r="CE106" s="645"/>
      <c r="CF106" s="645"/>
    </row>
    <row r="107" spans="1:84" s="663" customFormat="1" ht="15.75" customHeight="1">
      <c r="A107" s="635">
        <v>101</v>
      </c>
      <c r="B107" s="642"/>
      <c r="C107" s="474" t="s">
        <v>2257</v>
      </c>
      <c r="D107" s="474" t="s">
        <v>2258</v>
      </c>
      <c r="E107" s="633"/>
      <c r="F107" s="580"/>
      <c r="G107" s="660"/>
      <c r="H107" s="660"/>
      <c r="I107" s="660"/>
      <c r="J107" s="664" t="s">
        <v>2255</v>
      </c>
      <c r="K107" s="648">
        <v>1</v>
      </c>
      <c r="L107" s="898"/>
      <c r="M107" s="636"/>
      <c r="N107" s="636"/>
      <c r="O107" s="636"/>
      <c r="P107" s="636"/>
      <c r="Q107" s="898"/>
      <c r="R107" s="898"/>
      <c r="S107" s="636">
        <f t="shared" si="10"/>
        <v>800</v>
      </c>
      <c r="T107" s="637"/>
      <c r="U107" s="636">
        <f t="shared" si="8"/>
        <v>800</v>
      </c>
      <c r="V107" s="636" t="str">
        <f t="shared" si="9"/>
        <v/>
      </c>
      <c r="W107" s="522">
        <v>800</v>
      </c>
      <c r="X107" s="633"/>
      <c r="Y107" s="645"/>
      <c r="Z107" s="645"/>
      <c r="AA107" s="645"/>
      <c r="AB107" s="645"/>
      <c r="AC107" s="645"/>
      <c r="AD107" s="645"/>
      <c r="AE107" s="645"/>
      <c r="AF107" s="645"/>
      <c r="AG107" s="645"/>
      <c r="AH107" s="645"/>
      <c r="AI107" s="645"/>
      <c r="AJ107" s="645"/>
      <c r="AK107" s="645"/>
      <c r="AL107" s="645"/>
      <c r="AM107" s="645"/>
      <c r="AN107" s="645"/>
      <c r="AO107" s="645"/>
      <c r="AP107" s="645"/>
      <c r="AQ107" s="645"/>
      <c r="AR107" s="645"/>
      <c r="AS107" s="645"/>
      <c r="AT107" s="645"/>
      <c r="AU107" s="645"/>
      <c r="AV107" s="645"/>
      <c r="AW107" s="645"/>
      <c r="AX107" s="645"/>
      <c r="AY107" s="645"/>
      <c r="AZ107" s="645"/>
      <c r="BA107" s="645"/>
      <c r="BB107" s="645"/>
      <c r="BC107" s="645"/>
      <c r="BD107" s="645"/>
      <c r="BE107" s="645"/>
      <c r="BF107" s="645"/>
      <c r="BG107" s="645"/>
      <c r="BH107" s="645"/>
      <c r="BI107" s="645"/>
      <c r="BJ107" s="645"/>
      <c r="BK107" s="645"/>
      <c r="BL107" s="645"/>
      <c r="BM107" s="645"/>
      <c r="BN107" s="645"/>
      <c r="BO107" s="645"/>
      <c r="BP107" s="645"/>
      <c r="BQ107" s="645"/>
      <c r="BR107" s="645"/>
      <c r="BS107" s="645"/>
      <c r="BT107" s="645"/>
      <c r="BU107" s="645"/>
      <c r="BV107" s="645"/>
      <c r="BW107" s="645"/>
      <c r="BX107" s="645"/>
      <c r="BY107" s="645"/>
      <c r="BZ107" s="645"/>
      <c r="CA107" s="645"/>
      <c r="CB107" s="645"/>
      <c r="CC107" s="645"/>
      <c r="CD107" s="645"/>
      <c r="CE107" s="645"/>
      <c r="CF107" s="645"/>
    </row>
    <row r="108" spans="1:84" s="663" customFormat="1" ht="15.75" customHeight="1">
      <c r="A108" s="635">
        <v>102</v>
      </c>
      <c r="B108" s="642"/>
      <c r="C108" s="474" t="s">
        <v>2259</v>
      </c>
      <c r="D108" s="474" t="s">
        <v>2260</v>
      </c>
      <c r="E108" s="633"/>
      <c r="F108" s="580"/>
      <c r="G108" s="660"/>
      <c r="H108" s="660"/>
      <c r="I108" s="660"/>
      <c r="J108" s="664" t="s">
        <v>2255</v>
      </c>
      <c r="K108" s="648">
        <v>1</v>
      </c>
      <c r="L108" s="898"/>
      <c r="M108" s="636"/>
      <c r="N108" s="636"/>
      <c r="O108" s="636"/>
      <c r="P108" s="636"/>
      <c r="Q108" s="898"/>
      <c r="R108" s="898"/>
      <c r="S108" s="636">
        <f t="shared" si="10"/>
        <v>4200</v>
      </c>
      <c r="T108" s="637"/>
      <c r="U108" s="636">
        <f t="shared" si="8"/>
        <v>4200</v>
      </c>
      <c r="V108" s="636" t="str">
        <f t="shared" si="9"/>
        <v/>
      </c>
      <c r="W108" s="522">
        <v>4200</v>
      </c>
      <c r="X108" s="633"/>
      <c r="Y108" s="645"/>
      <c r="Z108" s="645"/>
      <c r="AA108" s="645"/>
      <c r="AB108" s="645"/>
      <c r="AC108" s="645"/>
      <c r="AD108" s="645"/>
      <c r="AE108" s="645"/>
      <c r="AF108" s="645"/>
      <c r="AG108" s="645"/>
      <c r="AH108" s="645"/>
      <c r="AI108" s="645"/>
      <c r="AJ108" s="645"/>
      <c r="AK108" s="645"/>
      <c r="AL108" s="645"/>
      <c r="AM108" s="645"/>
      <c r="AN108" s="645"/>
      <c r="AO108" s="645"/>
      <c r="AP108" s="645"/>
      <c r="AQ108" s="645"/>
      <c r="AR108" s="645"/>
      <c r="AS108" s="645"/>
      <c r="AT108" s="645"/>
      <c r="AU108" s="645"/>
      <c r="AV108" s="645"/>
      <c r="AW108" s="645"/>
      <c r="AX108" s="645"/>
      <c r="AY108" s="645"/>
      <c r="AZ108" s="645"/>
      <c r="BA108" s="645"/>
      <c r="BB108" s="645"/>
      <c r="BC108" s="645"/>
      <c r="BD108" s="645"/>
      <c r="BE108" s="645"/>
      <c r="BF108" s="645"/>
      <c r="BG108" s="645"/>
      <c r="BH108" s="645"/>
      <c r="BI108" s="645"/>
      <c r="BJ108" s="645"/>
      <c r="BK108" s="645"/>
      <c r="BL108" s="645"/>
      <c r="BM108" s="645"/>
      <c r="BN108" s="645"/>
      <c r="BO108" s="645"/>
      <c r="BP108" s="645"/>
      <c r="BQ108" s="645"/>
      <c r="BR108" s="645"/>
      <c r="BS108" s="645"/>
      <c r="BT108" s="645"/>
      <c r="BU108" s="645"/>
      <c r="BV108" s="645"/>
      <c r="BW108" s="645"/>
      <c r="BX108" s="645"/>
      <c r="BY108" s="645"/>
      <c r="BZ108" s="645"/>
      <c r="CA108" s="645"/>
      <c r="CB108" s="645"/>
      <c r="CC108" s="645"/>
      <c r="CD108" s="645"/>
      <c r="CE108" s="645"/>
      <c r="CF108" s="645"/>
    </row>
    <row r="109" spans="1:84" s="663" customFormat="1" ht="15.75" customHeight="1">
      <c r="A109" s="635">
        <v>103</v>
      </c>
      <c r="B109" s="642"/>
      <c r="C109" s="474" t="s">
        <v>2261</v>
      </c>
      <c r="D109" s="474" t="s">
        <v>2236</v>
      </c>
      <c r="E109" s="633"/>
      <c r="F109" s="580"/>
      <c r="G109" s="660"/>
      <c r="H109" s="660"/>
      <c r="I109" s="660"/>
      <c r="J109" s="664" t="s">
        <v>2255</v>
      </c>
      <c r="K109" s="648">
        <v>1</v>
      </c>
      <c r="L109" s="898"/>
      <c r="M109" s="636"/>
      <c r="N109" s="636"/>
      <c r="O109" s="636"/>
      <c r="P109" s="636"/>
      <c r="Q109" s="898"/>
      <c r="R109" s="898"/>
      <c r="S109" s="636">
        <f t="shared" si="10"/>
        <v>2300</v>
      </c>
      <c r="T109" s="637"/>
      <c r="U109" s="636">
        <f t="shared" si="8"/>
        <v>2300</v>
      </c>
      <c r="V109" s="636" t="str">
        <f t="shared" si="9"/>
        <v/>
      </c>
      <c r="W109" s="522">
        <v>2300</v>
      </c>
      <c r="X109" s="633"/>
      <c r="Y109" s="645"/>
      <c r="Z109" s="645"/>
      <c r="AA109" s="645"/>
      <c r="AB109" s="645"/>
      <c r="AC109" s="645"/>
      <c r="AD109" s="645"/>
      <c r="AE109" s="645"/>
      <c r="AF109" s="645"/>
      <c r="AG109" s="645"/>
      <c r="AH109" s="645"/>
      <c r="AI109" s="645"/>
      <c r="AJ109" s="645"/>
      <c r="AK109" s="645"/>
      <c r="AL109" s="645"/>
      <c r="AM109" s="645"/>
      <c r="AN109" s="645"/>
      <c r="AO109" s="645"/>
      <c r="AP109" s="645"/>
      <c r="AQ109" s="645"/>
      <c r="AR109" s="645"/>
      <c r="AS109" s="645"/>
      <c r="AT109" s="645"/>
      <c r="AU109" s="645"/>
      <c r="AV109" s="645"/>
      <c r="AW109" s="645"/>
      <c r="AX109" s="645"/>
      <c r="AY109" s="645"/>
      <c r="AZ109" s="645"/>
      <c r="BA109" s="645"/>
      <c r="BB109" s="645"/>
      <c r="BC109" s="645"/>
      <c r="BD109" s="645"/>
      <c r="BE109" s="645"/>
      <c r="BF109" s="645"/>
      <c r="BG109" s="645"/>
      <c r="BH109" s="645"/>
      <c r="BI109" s="645"/>
      <c r="BJ109" s="645"/>
      <c r="BK109" s="645"/>
      <c r="BL109" s="645"/>
      <c r="BM109" s="645"/>
      <c r="BN109" s="645"/>
      <c r="BO109" s="645"/>
      <c r="BP109" s="645"/>
      <c r="BQ109" s="645"/>
      <c r="BR109" s="645"/>
      <c r="BS109" s="645"/>
      <c r="BT109" s="645"/>
      <c r="BU109" s="645"/>
      <c r="BV109" s="645"/>
      <c r="BW109" s="645"/>
      <c r="BX109" s="645"/>
      <c r="BY109" s="645"/>
      <c r="BZ109" s="645"/>
      <c r="CA109" s="645"/>
      <c r="CB109" s="645"/>
      <c r="CC109" s="645"/>
      <c r="CD109" s="645"/>
      <c r="CE109" s="645"/>
      <c r="CF109" s="645"/>
    </row>
    <row r="110" spans="1:84" s="663" customFormat="1" ht="15.75" customHeight="1">
      <c r="A110" s="635">
        <v>104</v>
      </c>
      <c r="B110" s="642"/>
      <c r="C110" s="474" t="s">
        <v>2262</v>
      </c>
      <c r="D110" s="474" t="s">
        <v>2236</v>
      </c>
      <c r="E110" s="633"/>
      <c r="F110" s="580"/>
      <c r="G110" s="660"/>
      <c r="H110" s="660"/>
      <c r="I110" s="660"/>
      <c r="J110" s="664" t="s">
        <v>2255</v>
      </c>
      <c r="K110" s="648">
        <v>1</v>
      </c>
      <c r="L110" s="898"/>
      <c r="M110" s="636"/>
      <c r="N110" s="636"/>
      <c r="O110" s="636"/>
      <c r="P110" s="636"/>
      <c r="Q110" s="898"/>
      <c r="R110" s="898"/>
      <c r="S110" s="636">
        <f t="shared" si="10"/>
        <v>2300</v>
      </c>
      <c r="T110" s="637"/>
      <c r="U110" s="636">
        <f t="shared" si="8"/>
        <v>2300</v>
      </c>
      <c r="V110" s="636" t="str">
        <f t="shared" si="9"/>
        <v/>
      </c>
      <c r="W110" s="522">
        <v>2300</v>
      </c>
      <c r="X110" s="633"/>
      <c r="Y110" s="645"/>
      <c r="Z110" s="645"/>
      <c r="AA110" s="645"/>
      <c r="AB110" s="645"/>
      <c r="AC110" s="645"/>
      <c r="AD110" s="645"/>
      <c r="AE110" s="645"/>
      <c r="AF110" s="645"/>
      <c r="AG110" s="645"/>
      <c r="AH110" s="645"/>
      <c r="AI110" s="645"/>
      <c r="AJ110" s="645"/>
      <c r="AK110" s="645"/>
      <c r="AL110" s="645"/>
      <c r="AM110" s="645"/>
      <c r="AN110" s="645"/>
      <c r="AO110" s="645"/>
      <c r="AP110" s="645"/>
      <c r="AQ110" s="645"/>
      <c r="AR110" s="645"/>
      <c r="AS110" s="645"/>
      <c r="AT110" s="645"/>
      <c r="AU110" s="645"/>
      <c r="AV110" s="645"/>
      <c r="AW110" s="645"/>
      <c r="AX110" s="645"/>
      <c r="AY110" s="645"/>
      <c r="AZ110" s="645"/>
      <c r="BA110" s="645"/>
      <c r="BB110" s="645"/>
      <c r="BC110" s="645"/>
      <c r="BD110" s="645"/>
      <c r="BE110" s="645"/>
      <c r="BF110" s="645"/>
      <c r="BG110" s="645"/>
      <c r="BH110" s="645"/>
      <c r="BI110" s="645"/>
      <c r="BJ110" s="645"/>
      <c r="BK110" s="645"/>
      <c r="BL110" s="645"/>
      <c r="BM110" s="645"/>
      <c r="BN110" s="645"/>
      <c r="BO110" s="645"/>
      <c r="BP110" s="645"/>
      <c r="BQ110" s="645"/>
      <c r="BR110" s="645"/>
      <c r="BS110" s="645"/>
      <c r="BT110" s="645"/>
      <c r="BU110" s="645"/>
      <c r="BV110" s="645"/>
      <c r="BW110" s="645"/>
      <c r="BX110" s="645"/>
      <c r="BY110" s="645"/>
      <c r="BZ110" s="645"/>
      <c r="CA110" s="645"/>
      <c r="CB110" s="645"/>
      <c r="CC110" s="645"/>
      <c r="CD110" s="645"/>
      <c r="CE110" s="645"/>
      <c r="CF110" s="645"/>
    </row>
    <row r="111" spans="1:84" s="663" customFormat="1" ht="15.75" customHeight="1">
      <c r="A111" s="635">
        <v>105</v>
      </c>
      <c r="B111" s="642"/>
      <c r="C111" s="474" t="s">
        <v>2263</v>
      </c>
      <c r="D111" s="474" t="s">
        <v>2236</v>
      </c>
      <c r="E111" s="633"/>
      <c r="F111" s="580"/>
      <c r="G111" s="660"/>
      <c r="H111" s="660"/>
      <c r="I111" s="660"/>
      <c r="J111" s="664" t="s">
        <v>2255</v>
      </c>
      <c r="K111" s="648">
        <v>1</v>
      </c>
      <c r="L111" s="898"/>
      <c r="M111" s="636"/>
      <c r="N111" s="636"/>
      <c r="O111" s="636"/>
      <c r="P111" s="636"/>
      <c r="Q111" s="898"/>
      <c r="R111" s="898"/>
      <c r="S111" s="636">
        <f t="shared" si="10"/>
        <v>2300</v>
      </c>
      <c r="T111" s="637"/>
      <c r="U111" s="636">
        <f t="shared" si="8"/>
        <v>2300</v>
      </c>
      <c r="V111" s="636" t="str">
        <f t="shared" si="9"/>
        <v/>
      </c>
      <c r="W111" s="522">
        <v>2300</v>
      </c>
      <c r="X111" s="633"/>
      <c r="Y111" s="645"/>
      <c r="Z111" s="645"/>
      <c r="AA111" s="645"/>
      <c r="AB111" s="645"/>
      <c r="AC111" s="645"/>
      <c r="AD111" s="645"/>
      <c r="AE111" s="645"/>
      <c r="AF111" s="645"/>
      <c r="AG111" s="645"/>
      <c r="AH111" s="645"/>
      <c r="AI111" s="645"/>
      <c r="AJ111" s="645"/>
      <c r="AK111" s="645"/>
      <c r="AL111" s="645"/>
      <c r="AM111" s="645"/>
      <c r="AN111" s="645"/>
      <c r="AO111" s="645"/>
      <c r="AP111" s="645"/>
      <c r="AQ111" s="645"/>
      <c r="AR111" s="645"/>
      <c r="AS111" s="645"/>
      <c r="AT111" s="645"/>
      <c r="AU111" s="645"/>
      <c r="AV111" s="645"/>
      <c r="AW111" s="645"/>
      <c r="AX111" s="645"/>
      <c r="AY111" s="645"/>
      <c r="AZ111" s="645"/>
      <c r="BA111" s="645"/>
      <c r="BB111" s="645"/>
      <c r="BC111" s="645"/>
      <c r="BD111" s="645"/>
      <c r="BE111" s="645"/>
      <c r="BF111" s="645"/>
      <c r="BG111" s="645"/>
      <c r="BH111" s="645"/>
      <c r="BI111" s="645"/>
      <c r="BJ111" s="645"/>
      <c r="BK111" s="645"/>
      <c r="BL111" s="645"/>
      <c r="BM111" s="645"/>
      <c r="BN111" s="645"/>
      <c r="BO111" s="645"/>
      <c r="BP111" s="645"/>
      <c r="BQ111" s="645"/>
      <c r="BR111" s="645"/>
      <c r="BS111" s="645"/>
      <c r="BT111" s="645"/>
      <c r="BU111" s="645"/>
      <c r="BV111" s="645"/>
      <c r="BW111" s="645"/>
      <c r="BX111" s="645"/>
      <c r="BY111" s="645"/>
      <c r="BZ111" s="645"/>
      <c r="CA111" s="645"/>
      <c r="CB111" s="645"/>
      <c r="CC111" s="645"/>
      <c r="CD111" s="645"/>
      <c r="CE111" s="645"/>
      <c r="CF111" s="645"/>
    </row>
    <row r="112" spans="1:84" s="663" customFormat="1" ht="15.75" customHeight="1">
      <c r="A112" s="635">
        <v>106</v>
      </c>
      <c r="B112" s="642"/>
      <c r="C112" s="474" t="s">
        <v>2264</v>
      </c>
      <c r="D112" s="474" t="s">
        <v>2260</v>
      </c>
      <c r="E112" s="633"/>
      <c r="F112" s="580"/>
      <c r="G112" s="660"/>
      <c r="H112" s="660"/>
      <c r="I112" s="660"/>
      <c r="J112" s="664" t="s">
        <v>2255</v>
      </c>
      <c r="K112" s="648">
        <v>1</v>
      </c>
      <c r="L112" s="898"/>
      <c r="M112" s="636"/>
      <c r="N112" s="636"/>
      <c r="O112" s="636"/>
      <c r="P112" s="636"/>
      <c r="Q112" s="898"/>
      <c r="R112" s="898"/>
      <c r="S112" s="636">
        <f t="shared" si="10"/>
        <v>4200</v>
      </c>
      <c r="T112" s="637"/>
      <c r="U112" s="636">
        <f t="shared" si="8"/>
        <v>4200</v>
      </c>
      <c r="V112" s="636" t="str">
        <f t="shared" si="9"/>
        <v/>
      </c>
      <c r="W112" s="522">
        <v>4200</v>
      </c>
      <c r="X112" s="633"/>
      <c r="Y112" s="645"/>
      <c r="Z112" s="645"/>
      <c r="AA112" s="645"/>
      <c r="AB112" s="645"/>
      <c r="AC112" s="645"/>
      <c r="AD112" s="645"/>
      <c r="AE112" s="645"/>
      <c r="AF112" s="645"/>
      <c r="AG112" s="645"/>
      <c r="AH112" s="645"/>
      <c r="AI112" s="645"/>
      <c r="AJ112" s="645"/>
      <c r="AK112" s="645"/>
      <c r="AL112" s="645"/>
      <c r="AM112" s="645"/>
      <c r="AN112" s="645"/>
      <c r="AO112" s="645"/>
      <c r="AP112" s="645"/>
      <c r="AQ112" s="645"/>
      <c r="AR112" s="645"/>
      <c r="AS112" s="645"/>
      <c r="AT112" s="645"/>
      <c r="AU112" s="645"/>
      <c r="AV112" s="645"/>
      <c r="AW112" s="645"/>
      <c r="AX112" s="645"/>
      <c r="AY112" s="645"/>
      <c r="AZ112" s="645"/>
      <c r="BA112" s="645"/>
      <c r="BB112" s="645"/>
      <c r="BC112" s="645"/>
      <c r="BD112" s="645"/>
      <c r="BE112" s="645"/>
      <c r="BF112" s="645"/>
      <c r="BG112" s="645"/>
      <c r="BH112" s="645"/>
      <c r="BI112" s="645"/>
      <c r="BJ112" s="645"/>
      <c r="BK112" s="645"/>
      <c r="BL112" s="645"/>
      <c r="BM112" s="645"/>
      <c r="BN112" s="645"/>
      <c r="BO112" s="645"/>
      <c r="BP112" s="645"/>
      <c r="BQ112" s="645"/>
      <c r="BR112" s="645"/>
      <c r="BS112" s="645"/>
      <c r="BT112" s="645"/>
      <c r="BU112" s="645"/>
      <c r="BV112" s="645"/>
      <c r="BW112" s="645"/>
      <c r="BX112" s="645"/>
      <c r="BY112" s="645"/>
      <c r="BZ112" s="645"/>
      <c r="CA112" s="645"/>
      <c r="CB112" s="645"/>
      <c r="CC112" s="645"/>
      <c r="CD112" s="645"/>
      <c r="CE112" s="645"/>
      <c r="CF112" s="645"/>
    </row>
    <row r="113" spans="1:84" s="663" customFormat="1" ht="15.75" customHeight="1">
      <c r="A113" s="635">
        <v>107</v>
      </c>
      <c r="B113" s="642"/>
      <c r="C113" s="474" t="s">
        <v>2265</v>
      </c>
      <c r="D113" s="474" t="s">
        <v>2176</v>
      </c>
      <c r="E113" s="633"/>
      <c r="F113" s="580"/>
      <c r="G113" s="660"/>
      <c r="H113" s="660"/>
      <c r="I113" s="660"/>
      <c r="J113" s="664" t="s">
        <v>2255</v>
      </c>
      <c r="K113" s="648">
        <v>1</v>
      </c>
      <c r="L113" s="898"/>
      <c r="M113" s="636"/>
      <c r="N113" s="636"/>
      <c r="O113" s="636"/>
      <c r="P113" s="636"/>
      <c r="Q113" s="898"/>
      <c r="R113" s="898"/>
      <c r="S113" s="636">
        <f t="shared" si="10"/>
        <v>1800</v>
      </c>
      <c r="T113" s="637"/>
      <c r="U113" s="636">
        <f t="shared" si="8"/>
        <v>1800</v>
      </c>
      <c r="V113" s="636" t="str">
        <f t="shared" si="9"/>
        <v/>
      </c>
      <c r="W113" s="522">
        <v>1800</v>
      </c>
      <c r="X113" s="633"/>
      <c r="Y113" s="645"/>
      <c r="Z113" s="645"/>
      <c r="AA113" s="645"/>
      <c r="AB113" s="645"/>
      <c r="AC113" s="645"/>
      <c r="AD113" s="645"/>
      <c r="AE113" s="645"/>
      <c r="AF113" s="645"/>
      <c r="AG113" s="645"/>
      <c r="AH113" s="645"/>
      <c r="AI113" s="645"/>
      <c r="AJ113" s="645"/>
      <c r="AK113" s="645"/>
      <c r="AL113" s="645"/>
      <c r="AM113" s="645"/>
      <c r="AN113" s="645"/>
      <c r="AO113" s="645"/>
      <c r="AP113" s="645"/>
      <c r="AQ113" s="645"/>
      <c r="AR113" s="645"/>
      <c r="AS113" s="645"/>
      <c r="AT113" s="645"/>
      <c r="AU113" s="645"/>
      <c r="AV113" s="645"/>
      <c r="AW113" s="645"/>
      <c r="AX113" s="645"/>
      <c r="AY113" s="645"/>
      <c r="AZ113" s="645"/>
      <c r="BA113" s="645"/>
      <c r="BB113" s="645"/>
      <c r="BC113" s="645"/>
      <c r="BD113" s="645"/>
      <c r="BE113" s="645"/>
      <c r="BF113" s="645"/>
      <c r="BG113" s="645"/>
      <c r="BH113" s="645"/>
      <c r="BI113" s="645"/>
      <c r="BJ113" s="645"/>
      <c r="BK113" s="645"/>
      <c r="BL113" s="645"/>
      <c r="BM113" s="645"/>
      <c r="BN113" s="645"/>
      <c r="BO113" s="645"/>
      <c r="BP113" s="645"/>
      <c r="BQ113" s="645"/>
      <c r="BR113" s="645"/>
      <c r="BS113" s="645"/>
      <c r="BT113" s="645"/>
      <c r="BU113" s="645"/>
      <c r="BV113" s="645"/>
      <c r="BW113" s="645"/>
      <c r="BX113" s="645"/>
      <c r="BY113" s="645"/>
      <c r="BZ113" s="645"/>
      <c r="CA113" s="645"/>
      <c r="CB113" s="645"/>
      <c r="CC113" s="645"/>
      <c r="CD113" s="645"/>
      <c r="CE113" s="645"/>
      <c r="CF113" s="645"/>
    </row>
    <row r="114" spans="1:84" s="663" customFormat="1" ht="15.75" customHeight="1">
      <c r="A114" s="635">
        <v>108</v>
      </c>
      <c r="B114" s="642"/>
      <c r="C114" s="474" t="s">
        <v>2266</v>
      </c>
      <c r="D114" s="474" t="s">
        <v>2201</v>
      </c>
      <c r="E114" s="633"/>
      <c r="F114" s="580"/>
      <c r="G114" s="660"/>
      <c r="H114" s="660"/>
      <c r="I114" s="660"/>
      <c r="J114" s="664" t="s">
        <v>2255</v>
      </c>
      <c r="K114" s="648">
        <v>1</v>
      </c>
      <c r="L114" s="898"/>
      <c r="M114" s="636"/>
      <c r="N114" s="636"/>
      <c r="O114" s="636"/>
      <c r="P114" s="636"/>
      <c r="Q114" s="898"/>
      <c r="R114" s="898"/>
      <c r="S114" s="636">
        <f t="shared" si="10"/>
        <v>3700</v>
      </c>
      <c r="T114" s="637"/>
      <c r="U114" s="636">
        <f t="shared" si="8"/>
        <v>3700</v>
      </c>
      <c r="V114" s="636" t="str">
        <f t="shared" si="9"/>
        <v/>
      </c>
      <c r="W114" s="522">
        <v>3700</v>
      </c>
      <c r="X114" s="633"/>
      <c r="Y114" s="645"/>
      <c r="Z114" s="645"/>
      <c r="AA114" s="645"/>
      <c r="AB114" s="645"/>
      <c r="AC114" s="645"/>
      <c r="AD114" s="645"/>
      <c r="AE114" s="645"/>
      <c r="AF114" s="645"/>
      <c r="AG114" s="645"/>
      <c r="AH114" s="645"/>
      <c r="AI114" s="645"/>
      <c r="AJ114" s="645"/>
      <c r="AK114" s="645"/>
      <c r="AL114" s="645"/>
      <c r="AM114" s="645"/>
      <c r="AN114" s="645"/>
      <c r="AO114" s="645"/>
      <c r="AP114" s="645"/>
      <c r="AQ114" s="645"/>
      <c r="AR114" s="645"/>
      <c r="AS114" s="645"/>
      <c r="AT114" s="645"/>
      <c r="AU114" s="645"/>
      <c r="AV114" s="645"/>
      <c r="AW114" s="645"/>
      <c r="AX114" s="645"/>
      <c r="AY114" s="645"/>
      <c r="AZ114" s="645"/>
      <c r="BA114" s="645"/>
      <c r="BB114" s="645"/>
      <c r="BC114" s="645"/>
      <c r="BD114" s="645"/>
      <c r="BE114" s="645"/>
      <c r="BF114" s="645"/>
      <c r="BG114" s="645"/>
      <c r="BH114" s="645"/>
      <c r="BI114" s="645"/>
      <c r="BJ114" s="645"/>
      <c r="BK114" s="645"/>
      <c r="BL114" s="645"/>
      <c r="BM114" s="645"/>
      <c r="BN114" s="645"/>
      <c r="BO114" s="645"/>
      <c r="BP114" s="645"/>
      <c r="BQ114" s="645"/>
      <c r="BR114" s="645"/>
      <c r="BS114" s="645"/>
      <c r="BT114" s="645"/>
      <c r="BU114" s="645"/>
      <c r="BV114" s="645"/>
      <c r="BW114" s="645"/>
      <c r="BX114" s="645"/>
      <c r="BY114" s="645"/>
      <c r="BZ114" s="645"/>
      <c r="CA114" s="645"/>
      <c r="CB114" s="645"/>
      <c r="CC114" s="645"/>
      <c r="CD114" s="645"/>
      <c r="CE114" s="645"/>
      <c r="CF114" s="645"/>
    </row>
    <row r="115" spans="1:84" s="663" customFormat="1" ht="15.75" customHeight="1">
      <c r="A115" s="635">
        <v>109</v>
      </c>
      <c r="B115" s="642"/>
      <c r="C115" s="474" t="s">
        <v>2267</v>
      </c>
      <c r="D115" s="474" t="s">
        <v>2201</v>
      </c>
      <c r="E115" s="633"/>
      <c r="F115" s="580"/>
      <c r="G115" s="660"/>
      <c r="H115" s="660"/>
      <c r="I115" s="660"/>
      <c r="J115" s="664" t="s">
        <v>2255</v>
      </c>
      <c r="K115" s="648">
        <v>1</v>
      </c>
      <c r="L115" s="898"/>
      <c r="M115" s="636"/>
      <c r="N115" s="636"/>
      <c r="O115" s="636"/>
      <c r="P115" s="636"/>
      <c r="Q115" s="898"/>
      <c r="R115" s="898"/>
      <c r="S115" s="636">
        <f t="shared" si="10"/>
        <v>3700</v>
      </c>
      <c r="T115" s="637"/>
      <c r="U115" s="636">
        <f t="shared" si="8"/>
        <v>3700</v>
      </c>
      <c r="V115" s="636" t="str">
        <f t="shared" si="9"/>
        <v/>
      </c>
      <c r="W115" s="522">
        <v>3700</v>
      </c>
      <c r="X115" s="633"/>
      <c r="Y115" s="645"/>
      <c r="Z115" s="645"/>
      <c r="AA115" s="645"/>
      <c r="AB115" s="645"/>
      <c r="AC115" s="645"/>
      <c r="AD115" s="645"/>
      <c r="AE115" s="645"/>
      <c r="AF115" s="645"/>
      <c r="AG115" s="645"/>
      <c r="AH115" s="645"/>
      <c r="AI115" s="645"/>
      <c r="AJ115" s="645"/>
      <c r="AK115" s="645"/>
      <c r="AL115" s="645"/>
      <c r="AM115" s="645"/>
      <c r="AN115" s="645"/>
      <c r="AO115" s="645"/>
      <c r="AP115" s="645"/>
      <c r="AQ115" s="645"/>
      <c r="AR115" s="645"/>
      <c r="AS115" s="645"/>
      <c r="AT115" s="645"/>
      <c r="AU115" s="645"/>
      <c r="AV115" s="645"/>
      <c r="AW115" s="645"/>
      <c r="AX115" s="645"/>
      <c r="AY115" s="645"/>
      <c r="AZ115" s="645"/>
      <c r="BA115" s="645"/>
      <c r="BB115" s="645"/>
      <c r="BC115" s="645"/>
      <c r="BD115" s="645"/>
      <c r="BE115" s="645"/>
      <c r="BF115" s="645"/>
      <c r="BG115" s="645"/>
      <c r="BH115" s="645"/>
      <c r="BI115" s="645"/>
      <c r="BJ115" s="645"/>
      <c r="BK115" s="645"/>
      <c r="BL115" s="645"/>
      <c r="BM115" s="645"/>
      <c r="BN115" s="645"/>
      <c r="BO115" s="645"/>
      <c r="BP115" s="645"/>
      <c r="BQ115" s="645"/>
      <c r="BR115" s="645"/>
      <c r="BS115" s="645"/>
      <c r="BT115" s="645"/>
      <c r="BU115" s="645"/>
      <c r="BV115" s="645"/>
      <c r="BW115" s="645"/>
      <c r="BX115" s="645"/>
      <c r="BY115" s="645"/>
      <c r="BZ115" s="645"/>
      <c r="CA115" s="645"/>
      <c r="CB115" s="645"/>
      <c r="CC115" s="645"/>
      <c r="CD115" s="645"/>
      <c r="CE115" s="645"/>
      <c r="CF115" s="645"/>
    </row>
    <row r="116" spans="1:84" s="663" customFormat="1" ht="15.75" customHeight="1">
      <c r="A116" s="635">
        <v>110</v>
      </c>
      <c r="B116" s="642"/>
      <c r="C116" s="474" t="s">
        <v>2268</v>
      </c>
      <c r="D116" s="474" t="s">
        <v>2201</v>
      </c>
      <c r="E116" s="633"/>
      <c r="F116" s="580"/>
      <c r="G116" s="660"/>
      <c r="H116" s="660"/>
      <c r="I116" s="660"/>
      <c r="J116" s="664" t="s">
        <v>2255</v>
      </c>
      <c r="K116" s="648">
        <v>1</v>
      </c>
      <c r="L116" s="898"/>
      <c r="M116" s="636"/>
      <c r="N116" s="636"/>
      <c r="O116" s="636"/>
      <c r="P116" s="636"/>
      <c r="Q116" s="898"/>
      <c r="R116" s="898"/>
      <c r="S116" s="636">
        <f t="shared" si="10"/>
        <v>3700</v>
      </c>
      <c r="T116" s="637"/>
      <c r="U116" s="636">
        <f t="shared" si="8"/>
        <v>3700</v>
      </c>
      <c r="V116" s="636" t="str">
        <f t="shared" si="9"/>
        <v/>
      </c>
      <c r="W116" s="522">
        <v>3700</v>
      </c>
      <c r="X116" s="633"/>
      <c r="Y116" s="645"/>
      <c r="Z116" s="645"/>
      <c r="AA116" s="645"/>
      <c r="AB116" s="645"/>
      <c r="AC116" s="645"/>
      <c r="AD116" s="645"/>
      <c r="AE116" s="645"/>
      <c r="AF116" s="645"/>
      <c r="AG116" s="645"/>
      <c r="AH116" s="645"/>
      <c r="AI116" s="645"/>
      <c r="AJ116" s="645"/>
      <c r="AK116" s="645"/>
      <c r="AL116" s="645"/>
      <c r="AM116" s="645"/>
      <c r="AN116" s="645"/>
      <c r="AO116" s="645"/>
      <c r="AP116" s="645"/>
      <c r="AQ116" s="645"/>
      <c r="AR116" s="645"/>
      <c r="AS116" s="645"/>
      <c r="AT116" s="645"/>
      <c r="AU116" s="645"/>
      <c r="AV116" s="645"/>
      <c r="AW116" s="645"/>
      <c r="AX116" s="645"/>
      <c r="AY116" s="645"/>
      <c r="AZ116" s="645"/>
      <c r="BA116" s="645"/>
      <c r="BB116" s="645"/>
      <c r="BC116" s="645"/>
      <c r="BD116" s="645"/>
      <c r="BE116" s="645"/>
      <c r="BF116" s="645"/>
      <c r="BG116" s="645"/>
      <c r="BH116" s="645"/>
      <c r="BI116" s="645"/>
      <c r="BJ116" s="645"/>
      <c r="BK116" s="645"/>
      <c r="BL116" s="645"/>
      <c r="BM116" s="645"/>
      <c r="BN116" s="645"/>
      <c r="BO116" s="645"/>
      <c r="BP116" s="645"/>
      <c r="BQ116" s="645"/>
      <c r="BR116" s="645"/>
      <c r="BS116" s="645"/>
      <c r="BT116" s="645"/>
      <c r="BU116" s="645"/>
      <c r="BV116" s="645"/>
      <c r="BW116" s="645"/>
      <c r="BX116" s="645"/>
      <c r="BY116" s="645"/>
      <c r="BZ116" s="645"/>
      <c r="CA116" s="645"/>
      <c r="CB116" s="645"/>
      <c r="CC116" s="645"/>
      <c r="CD116" s="645"/>
      <c r="CE116" s="645"/>
      <c r="CF116" s="645"/>
    </row>
    <row r="117" spans="1:84" s="663" customFormat="1" ht="15.75" customHeight="1">
      <c r="A117" s="635">
        <v>111</v>
      </c>
      <c r="B117" s="642"/>
      <c r="C117" s="474" t="s">
        <v>2269</v>
      </c>
      <c r="D117" s="474" t="s">
        <v>2201</v>
      </c>
      <c r="E117" s="633"/>
      <c r="F117" s="580"/>
      <c r="G117" s="660"/>
      <c r="H117" s="660"/>
      <c r="I117" s="660"/>
      <c r="J117" s="664" t="s">
        <v>2255</v>
      </c>
      <c r="K117" s="648">
        <v>1</v>
      </c>
      <c r="L117" s="898"/>
      <c r="M117" s="636"/>
      <c r="N117" s="636"/>
      <c r="O117" s="636"/>
      <c r="P117" s="636"/>
      <c r="Q117" s="898"/>
      <c r="R117" s="898"/>
      <c r="S117" s="636">
        <f t="shared" si="10"/>
        <v>3700</v>
      </c>
      <c r="T117" s="637"/>
      <c r="U117" s="636">
        <f t="shared" si="8"/>
        <v>3700</v>
      </c>
      <c r="V117" s="636" t="str">
        <f t="shared" si="9"/>
        <v/>
      </c>
      <c r="W117" s="522">
        <v>3700</v>
      </c>
      <c r="X117" s="633"/>
      <c r="Y117" s="645"/>
      <c r="Z117" s="645"/>
      <c r="AA117" s="645"/>
      <c r="AB117" s="645"/>
      <c r="AC117" s="645"/>
      <c r="AD117" s="645"/>
      <c r="AE117" s="645"/>
      <c r="AF117" s="645"/>
      <c r="AG117" s="645"/>
      <c r="AH117" s="645"/>
      <c r="AI117" s="645"/>
      <c r="AJ117" s="645"/>
      <c r="AK117" s="645"/>
      <c r="AL117" s="645"/>
      <c r="AM117" s="645"/>
      <c r="AN117" s="645"/>
      <c r="AO117" s="645"/>
      <c r="AP117" s="645"/>
      <c r="AQ117" s="645"/>
      <c r="AR117" s="645"/>
      <c r="AS117" s="645"/>
      <c r="AT117" s="645"/>
      <c r="AU117" s="645"/>
      <c r="AV117" s="645"/>
      <c r="AW117" s="645"/>
      <c r="AX117" s="645"/>
      <c r="AY117" s="645"/>
      <c r="AZ117" s="645"/>
      <c r="BA117" s="645"/>
      <c r="BB117" s="645"/>
      <c r="BC117" s="645"/>
      <c r="BD117" s="645"/>
      <c r="BE117" s="645"/>
      <c r="BF117" s="645"/>
      <c r="BG117" s="645"/>
      <c r="BH117" s="645"/>
      <c r="BI117" s="645"/>
      <c r="BJ117" s="645"/>
      <c r="BK117" s="645"/>
      <c r="BL117" s="645"/>
      <c r="BM117" s="645"/>
      <c r="BN117" s="645"/>
      <c r="BO117" s="645"/>
      <c r="BP117" s="645"/>
      <c r="BQ117" s="645"/>
      <c r="BR117" s="645"/>
      <c r="BS117" s="645"/>
      <c r="BT117" s="645"/>
      <c r="BU117" s="645"/>
      <c r="BV117" s="645"/>
      <c r="BW117" s="645"/>
      <c r="BX117" s="645"/>
      <c r="BY117" s="645"/>
      <c r="BZ117" s="645"/>
      <c r="CA117" s="645"/>
      <c r="CB117" s="645"/>
      <c r="CC117" s="645"/>
      <c r="CD117" s="645"/>
      <c r="CE117" s="645"/>
      <c r="CF117" s="645"/>
    </row>
    <row r="118" spans="1:84" s="663" customFormat="1" ht="15.75" customHeight="1">
      <c r="A118" s="635">
        <v>112</v>
      </c>
      <c r="B118" s="642"/>
      <c r="C118" s="474" t="s">
        <v>2270</v>
      </c>
      <c r="D118" s="474" t="s">
        <v>2176</v>
      </c>
      <c r="E118" s="633"/>
      <c r="F118" s="580"/>
      <c r="G118" s="660"/>
      <c r="H118" s="660"/>
      <c r="I118" s="660"/>
      <c r="J118" s="664" t="s">
        <v>2255</v>
      </c>
      <c r="K118" s="648">
        <v>1</v>
      </c>
      <c r="L118" s="898"/>
      <c r="M118" s="636"/>
      <c r="N118" s="636"/>
      <c r="O118" s="636"/>
      <c r="P118" s="636"/>
      <c r="Q118" s="898"/>
      <c r="R118" s="898"/>
      <c r="S118" s="636">
        <f t="shared" si="10"/>
        <v>1800</v>
      </c>
      <c r="T118" s="637"/>
      <c r="U118" s="636">
        <f t="shared" si="8"/>
        <v>1800</v>
      </c>
      <c r="V118" s="636" t="str">
        <f t="shared" si="9"/>
        <v/>
      </c>
      <c r="W118" s="522">
        <v>1800</v>
      </c>
      <c r="X118" s="633"/>
      <c r="Y118" s="645"/>
      <c r="Z118" s="645"/>
      <c r="AA118" s="645"/>
      <c r="AB118" s="645"/>
      <c r="AC118" s="645"/>
      <c r="AD118" s="645"/>
      <c r="AE118" s="645"/>
      <c r="AF118" s="645"/>
      <c r="AG118" s="645"/>
      <c r="AH118" s="645"/>
      <c r="AI118" s="645"/>
      <c r="AJ118" s="645"/>
      <c r="AK118" s="645"/>
      <c r="AL118" s="645"/>
      <c r="AM118" s="645"/>
      <c r="AN118" s="645"/>
      <c r="AO118" s="645"/>
      <c r="AP118" s="645"/>
      <c r="AQ118" s="645"/>
      <c r="AR118" s="645"/>
      <c r="AS118" s="645"/>
      <c r="AT118" s="645"/>
      <c r="AU118" s="645"/>
      <c r="AV118" s="645"/>
      <c r="AW118" s="645"/>
      <c r="AX118" s="645"/>
      <c r="AY118" s="645"/>
      <c r="AZ118" s="645"/>
      <c r="BA118" s="645"/>
      <c r="BB118" s="645"/>
      <c r="BC118" s="645"/>
      <c r="BD118" s="645"/>
      <c r="BE118" s="645"/>
      <c r="BF118" s="645"/>
      <c r="BG118" s="645"/>
      <c r="BH118" s="645"/>
      <c r="BI118" s="645"/>
      <c r="BJ118" s="645"/>
      <c r="BK118" s="645"/>
      <c r="BL118" s="645"/>
      <c r="BM118" s="645"/>
      <c r="BN118" s="645"/>
      <c r="BO118" s="645"/>
      <c r="BP118" s="645"/>
      <c r="BQ118" s="645"/>
      <c r="BR118" s="645"/>
      <c r="BS118" s="645"/>
      <c r="BT118" s="645"/>
      <c r="BU118" s="645"/>
      <c r="BV118" s="645"/>
      <c r="BW118" s="645"/>
      <c r="BX118" s="645"/>
      <c r="BY118" s="645"/>
      <c r="BZ118" s="645"/>
      <c r="CA118" s="645"/>
      <c r="CB118" s="645"/>
      <c r="CC118" s="645"/>
      <c r="CD118" s="645"/>
      <c r="CE118" s="645"/>
      <c r="CF118" s="645"/>
    </row>
    <row r="119" spans="1:84" s="663" customFormat="1" ht="15.75" customHeight="1">
      <c r="A119" s="635">
        <v>113</v>
      </c>
      <c r="B119" s="642"/>
      <c r="C119" s="474" t="s">
        <v>2271</v>
      </c>
      <c r="D119" s="474" t="s">
        <v>2176</v>
      </c>
      <c r="E119" s="633"/>
      <c r="F119" s="580"/>
      <c r="G119" s="660"/>
      <c r="H119" s="660"/>
      <c r="I119" s="660"/>
      <c r="J119" s="664" t="s">
        <v>2255</v>
      </c>
      <c r="K119" s="648">
        <v>1</v>
      </c>
      <c r="L119" s="898"/>
      <c r="M119" s="636"/>
      <c r="N119" s="636"/>
      <c r="O119" s="636"/>
      <c r="P119" s="636"/>
      <c r="Q119" s="898"/>
      <c r="R119" s="898"/>
      <c r="S119" s="636">
        <f t="shared" si="10"/>
        <v>1800</v>
      </c>
      <c r="T119" s="637"/>
      <c r="U119" s="636">
        <f t="shared" si="8"/>
        <v>1800</v>
      </c>
      <c r="V119" s="636" t="str">
        <f t="shared" si="9"/>
        <v/>
      </c>
      <c r="W119" s="522">
        <v>1800</v>
      </c>
      <c r="X119" s="633"/>
      <c r="Y119" s="645"/>
      <c r="Z119" s="645"/>
      <c r="AA119" s="645"/>
      <c r="AB119" s="645"/>
      <c r="AC119" s="645"/>
      <c r="AD119" s="645"/>
      <c r="AE119" s="645"/>
      <c r="AF119" s="645"/>
      <c r="AG119" s="645"/>
      <c r="AH119" s="645"/>
      <c r="AI119" s="645"/>
      <c r="AJ119" s="645"/>
      <c r="AK119" s="645"/>
      <c r="AL119" s="645"/>
      <c r="AM119" s="645"/>
      <c r="AN119" s="645"/>
      <c r="AO119" s="645"/>
      <c r="AP119" s="645"/>
      <c r="AQ119" s="645"/>
      <c r="AR119" s="645"/>
      <c r="AS119" s="645"/>
      <c r="AT119" s="645"/>
      <c r="AU119" s="645"/>
      <c r="AV119" s="645"/>
      <c r="AW119" s="645"/>
      <c r="AX119" s="645"/>
      <c r="AY119" s="645"/>
      <c r="AZ119" s="645"/>
      <c r="BA119" s="645"/>
      <c r="BB119" s="645"/>
      <c r="BC119" s="645"/>
      <c r="BD119" s="645"/>
      <c r="BE119" s="645"/>
      <c r="BF119" s="645"/>
      <c r="BG119" s="645"/>
      <c r="BH119" s="645"/>
      <c r="BI119" s="645"/>
      <c r="BJ119" s="645"/>
      <c r="BK119" s="645"/>
      <c r="BL119" s="645"/>
      <c r="BM119" s="645"/>
      <c r="BN119" s="645"/>
      <c r="BO119" s="645"/>
      <c r="BP119" s="645"/>
      <c r="BQ119" s="645"/>
      <c r="BR119" s="645"/>
      <c r="BS119" s="645"/>
      <c r="BT119" s="645"/>
      <c r="BU119" s="645"/>
      <c r="BV119" s="645"/>
      <c r="BW119" s="645"/>
      <c r="BX119" s="645"/>
      <c r="BY119" s="645"/>
      <c r="BZ119" s="645"/>
      <c r="CA119" s="645"/>
      <c r="CB119" s="645"/>
      <c r="CC119" s="645"/>
      <c r="CD119" s="645"/>
      <c r="CE119" s="645"/>
      <c r="CF119" s="645"/>
    </row>
    <row r="120" spans="1:84" s="663" customFormat="1" ht="15.75" customHeight="1">
      <c r="A120" s="635">
        <v>114</v>
      </c>
      <c r="B120" s="642"/>
      <c r="C120" s="474" t="s">
        <v>2272</v>
      </c>
      <c r="D120" s="474" t="s">
        <v>2273</v>
      </c>
      <c r="E120" s="633"/>
      <c r="F120" s="580"/>
      <c r="G120" s="660"/>
      <c r="H120" s="660"/>
      <c r="I120" s="660"/>
      <c r="J120" s="664" t="s">
        <v>2255</v>
      </c>
      <c r="K120" s="648">
        <v>1</v>
      </c>
      <c r="L120" s="898"/>
      <c r="M120" s="636"/>
      <c r="N120" s="636"/>
      <c r="O120" s="636"/>
      <c r="P120" s="636"/>
      <c r="Q120" s="898"/>
      <c r="R120" s="898"/>
      <c r="S120" s="636">
        <f t="shared" si="10"/>
        <v>400</v>
      </c>
      <c r="T120" s="637"/>
      <c r="U120" s="636">
        <f t="shared" si="8"/>
        <v>400</v>
      </c>
      <c r="V120" s="636" t="str">
        <f t="shared" si="9"/>
        <v/>
      </c>
      <c r="W120" s="522">
        <v>400</v>
      </c>
      <c r="X120" s="633"/>
      <c r="Y120" s="645"/>
      <c r="Z120" s="645"/>
      <c r="AA120" s="645"/>
      <c r="AB120" s="645"/>
      <c r="AC120" s="645"/>
      <c r="AD120" s="645"/>
      <c r="AE120" s="645"/>
      <c r="AF120" s="645"/>
      <c r="AG120" s="645"/>
      <c r="AH120" s="645"/>
      <c r="AI120" s="645"/>
      <c r="AJ120" s="645"/>
      <c r="AK120" s="645"/>
      <c r="AL120" s="645"/>
      <c r="AM120" s="645"/>
      <c r="AN120" s="645"/>
      <c r="AO120" s="645"/>
      <c r="AP120" s="645"/>
      <c r="AQ120" s="645"/>
      <c r="AR120" s="645"/>
      <c r="AS120" s="645"/>
      <c r="AT120" s="645"/>
      <c r="AU120" s="645"/>
      <c r="AV120" s="645"/>
      <c r="AW120" s="645"/>
      <c r="AX120" s="645"/>
      <c r="AY120" s="645"/>
      <c r="AZ120" s="645"/>
      <c r="BA120" s="645"/>
      <c r="BB120" s="645"/>
      <c r="BC120" s="645"/>
      <c r="BD120" s="645"/>
      <c r="BE120" s="645"/>
      <c r="BF120" s="645"/>
      <c r="BG120" s="645"/>
      <c r="BH120" s="645"/>
      <c r="BI120" s="645"/>
      <c r="BJ120" s="645"/>
      <c r="BK120" s="645"/>
      <c r="BL120" s="645"/>
      <c r="BM120" s="645"/>
      <c r="BN120" s="645"/>
      <c r="BO120" s="645"/>
      <c r="BP120" s="645"/>
      <c r="BQ120" s="645"/>
      <c r="BR120" s="645"/>
      <c r="BS120" s="645"/>
      <c r="BT120" s="645"/>
      <c r="BU120" s="645"/>
      <c r="BV120" s="645"/>
      <c r="BW120" s="645"/>
      <c r="BX120" s="645"/>
      <c r="BY120" s="645"/>
      <c r="BZ120" s="645"/>
      <c r="CA120" s="645"/>
      <c r="CB120" s="645"/>
      <c r="CC120" s="645"/>
      <c r="CD120" s="645"/>
      <c r="CE120" s="645"/>
      <c r="CF120" s="645"/>
    </row>
    <row r="121" spans="1:84" s="663" customFormat="1" ht="15.75" customHeight="1">
      <c r="A121" s="635">
        <v>115</v>
      </c>
      <c r="B121" s="642"/>
      <c r="C121" s="474" t="s">
        <v>2274</v>
      </c>
      <c r="D121" s="474" t="s">
        <v>2236</v>
      </c>
      <c r="E121" s="633"/>
      <c r="F121" s="580"/>
      <c r="G121" s="660"/>
      <c r="H121" s="660"/>
      <c r="I121" s="660"/>
      <c r="J121" s="664" t="s">
        <v>2255</v>
      </c>
      <c r="K121" s="648">
        <v>1</v>
      </c>
      <c r="L121" s="898"/>
      <c r="M121" s="636"/>
      <c r="N121" s="636"/>
      <c r="O121" s="636"/>
      <c r="P121" s="636"/>
      <c r="Q121" s="898"/>
      <c r="R121" s="898"/>
      <c r="S121" s="636">
        <f t="shared" si="10"/>
        <v>2300</v>
      </c>
      <c r="T121" s="637"/>
      <c r="U121" s="636">
        <f t="shared" si="8"/>
        <v>2300</v>
      </c>
      <c r="V121" s="636" t="str">
        <f t="shared" si="9"/>
        <v/>
      </c>
      <c r="W121" s="522">
        <v>2300</v>
      </c>
      <c r="X121" s="633"/>
      <c r="Y121" s="645"/>
      <c r="Z121" s="645"/>
      <c r="AA121" s="645"/>
      <c r="AB121" s="645"/>
      <c r="AC121" s="645"/>
      <c r="AD121" s="645"/>
      <c r="AE121" s="645"/>
      <c r="AF121" s="645"/>
      <c r="AG121" s="645"/>
      <c r="AH121" s="645"/>
      <c r="AI121" s="645"/>
      <c r="AJ121" s="645"/>
      <c r="AK121" s="645"/>
      <c r="AL121" s="645"/>
      <c r="AM121" s="645"/>
      <c r="AN121" s="645"/>
      <c r="AO121" s="645"/>
      <c r="AP121" s="645"/>
      <c r="AQ121" s="645"/>
      <c r="AR121" s="645"/>
      <c r="AS121" s="645"/>
      <c r="AT121" s="645"/>
      <c r="AU121" s="645"/>
      <c r="AV121" s="645"/>
      <c r="AW121" s="645"/>
      <c r="AX121" s="645"/>
      <c r="AY121" s="645"/>
      <c r="AZ121" s="645"/>
      <c r="BA121" s="645"/>
      <c r="BB121" s="645"/>
      <c r="BC121" s="645"/>
      <c r="BD121" s="645"/>
      <c r="BE121" s="645"/>
      <c r="BF121" s="645"/>
      <c r="BG121" s="645"/>
      <c r="BH121" s="645"/>
      <c r="BI121" s="645"/>
      <c r="BJ121" s="645"/>
      <c r="BK121" s="645"/>
      <c r="BL121" s="645"/>
      <c r="BM121" s="645"/>
      <c r="BN121" s="645"/>
      <c r="BO121" s="645"/>
      <c r="BP121" s="645"/>
      <c r="BQ121" s="645"/>
      <c r="BR121" s="645"/>
      <c r="BS121" s="645"/>
      <c r="BT121" s="645"/>
      <c r="BU121" s="645"/>
      <c r="BV121" s="645"/>
      <c r="BW121" s="645"/>
      <c r="BX121" s="645"/>
      <c r="BY121" s="645"/>
      <c r="BZ121" s="645"/>
      <c r="CA121" s="645"/>
      <c r="CB121" s="645"/>
      <c r="CC121" s="645"/>
      <c r="CD121" s="645"/>
      <c r="CE121" s="645"/>
      <c r="CF121" s="645"/>
    </row>
    <row r="122" spans="1:84" s="663" customFormat="1" ht="15.75" customHeight="1">
      <c r="A122" s="635">
        <v>116</v>
      </c>
      <c r="B122" s="642"/>
      <c r="C122" s="474" t="s">
        <v>2275</v>
      </c>
      <c r="D122" s="474" t="s">
        <v>2236</v>
      </c>
      <c r="E122" s="633"/>
      <c r="F122" s="580"/>
      <c r="G122" s="660"/>
      <c r="H122" s="660"/>
      <c r="I122" s="660"/>
      <c r="J122" s="664" t="s">
        <v>2255</v>
      </c>
      <c r="K122" s="648">
        <v>1</v>
      </c>
      <c r="L122" s="898"/>
      <c r="M122" s="636"/>
      <c r="N122" s="636"/>
      <c r="O122" s="636"/>
      <c r="P122" s="636"/>
      <c r="Q122" s="898"/>
      <c r="R122" s="898"/>
      <c r="S122" s="636">
        <f t="shared" si="10"/>
        <v>2300</v>
      </c>
      <c r="T122" s="637"/>
      <c r="U122" s="636">
        <f t="shared" si="8"/>
        <v>2300</v>
      </c>
      <c r="V122" s="636" t="str">
        <f t="shared" si="9"/>
        <v/>
      </c>
      <c r="W122" s="522">
        <v>2300</v>
      </c>
      <c r="X122" s="633"/>
      <c r="Y122" s="645"/>
      <c r="Z122" s="645"/>
      <c r="AA122" s="645"/>
      <c r="AB122" s="645"/>
      <c r="AC122" s="645"/>
      <c r="AD122" s="645"/>
      <c r="AE122" s="645"/>
      <c r="AF122" s="645"/>
      <c r="AG122" s="645"/>
      <c r="AH122" s="645"/>
      <c r="AI122" s="645"/>
      <c r="AJ122" s="645"/>
      <c r="AK122" s="645"/>
      <c r="AL122" s="645"/>
      <c r="AM122" s="645"/>
      <c r="AN122" s="645"/>
      <c r="AO122" s="645"/>
      <c r="AP122" s="645"/>
      <c r="AQ122" s="645"/>
      <c r="AR122" s="645"/>
      <c r="AS122" s="645"/>
      <c r="AT122" s="645"/>
      <c r="AU122" s="645"/>
      <c r="AV122" s="645"/>
      <c r="AW122" s="645"/>
      <c r="AX122" s="645"/>
      <c r="AY122" s="645"/>
      <c r="AZ122" s="645"/>
      <c r="BA122" s="645"/>
      <c r="BB122" s="645"/>
      <c r="BC122" s="645"/>
      <c r="BD122" s="645"/>
      <c r="BE122" s="645"/>
      <c r="BF122" s="645"/>
      <c r="BG122" s="645"/>
      <c r="BH122" s="645"/>
      <c r="BI122" s="645"/>
      <c r="BJ122" s="645"/>
      <c r="BK122" s="645"/>
      <c r="BL122" s="645"/>
      <c r="BM122" s="645"/>
      <c r="BN122" s="645"/>
      <c r="BO122" s="645"/>
      <c r="BP122" s="645"/>
      <c r="BQ122" s="645"/>
      <c r="BR122" s="645"/>
      <c r="BS122" s="645"/>
      <c r="BT122" s="645"/>
      <c r="BU122" s="645"/>
      <c r="BV122" s="645"/>
      <c r="BW122" s="645"/>
      <c r="BX122" s="645"/>
      <c r="BY122" s="645"/>
      <c r="BZ122" s="645"/>
      <c r="CA122" s="645"/>
      <c r="CB122" s="645"/>
      <c r="CC122" s="645"/>
      <c r="CD122" s="645"/>
      <c r="CE122" s="645"/>
      <c r="CF122" s="645"/>
    </row>
    <row r="123" spans="1:84" s="663" customFormat="1" ht="15.75" customHeight="1">
      <c r="A123" s="635">
        <v>117</v>
      </c>
      <c r="B123" s="642"/>
      <c r="C123" s="474" t="s">
        <v>2276</v>
      </c>
      <c r="D123" s="474" t="s">
        <v>2236</v>
      </c>
      <c r="E123" s="633"/>
      <c r="F123" s="580"/>
      <c r="G123" s="660"/>
      <c r="H123" s="660"/>
      <c r="I123" s="660"/>
      <c r="J123" s="664" t="s">
        <v>2255</v>
      </c>
      <c r="K123" s="648">
        <v>1</v>
      </c>
      <c r="L123" s="898"/>
      <c r="M123" s="636"/>
      <c r="N123" s="636"/>
      <c r="O123" s="636"/>
      <c r="P123" s="636"/>
      <c r="Q123" s="898"/>
      <c r="R123" s="898"/>
      <c r="S123" s="636">
        <f t="shared" si="10"/>
        <v>2300</v>
      </c>
      <c r="T123" s="637"/>
      <c r="U123" s="636">
        <f t="shared" si="8"/>
        <v>2300</v>
      </c>
      <c r="V123" s="636" t="str">
        <f t="shared" si="9"/>
        <v/>
      </c>
      <c r="W123" s="522">
        <v>2300</v>
      </c>
      <c r="X123" s="633"/>
      <c r="Y123" s="645"/>
      <c r="Z123" s="645"/>
      <c r="AA123" s="645"/>
      <c r="AB123" s="645"/>
      <c r="AC123" s="645"/>
      <c r="AD123" s="645"/>
      <c r="AE123" s="645"/>
      <c r="AF123" s="645"/>
      <c r="AG123" s="645"/>
      <c r="AH123" s="645"/>
      <c r="AI123" s="645"/>
      <c r="AJ123" s="645"/>
      <c r="AK123" s="645"/>
      <c r="AL123" s="645"/>
      <c r="AM123" s="645"/>
      <c r="AN123" s="645"/>
      <c r="AO123" s="645"/>
      <c r="AP123" s="645"/>
      <c r="AQ123" s="645"/>
      <c r="AR123" s="645"/>
      <c r="AS123" s="645"/>
      <c r="AT123" s="645"/>
      <c r="AU123" s="645"/>
      <c r="AV123" s="645"/>
      <c r="AW123" s="645"/>
      <c r="AX123" s="645"/>
      <c r="AY123" s="645"/>
      <c r="AZ123" s="645"/>
      <c r="BA123" s="645"/>
      <c r="BB123" s="645"/>
      <c r="BC123" s="645"/>
      <c r="BD123" s="645"/>
      <c r="BE123" s="645"/>
      <c r="BF123" s="645"/>
      <c r="BG123" s="645"/>
      <c r="BH123" s="645"/>
      <c r="BI123" s="645"/>
      <c r="BJ123" s="645"/>
      <c r="BK123" s="645"/>
      <c r="BL123" s="645"/>
      <c r="BM123" s="645"/>
      <c r="BN123" s="645"/>
      <c r="BO123" s="645"/>
      <c r="BP123" s="645"/>
      <c r="BQ123" s="645"/>
      <c r="BR123" s="645"/>
      <c r="BS123" s="645"/>
      <c r="BT123" s="645"/>
      <c r="BU123" s="645"/>
      <c r="BV123" s="645"/>
      <c r="BW123" s="645"/>
      <c r="BX123" s="645"/>
      <c r="BY123" s="645"/>
      <c r="BZ123" s="645"/>
      <c r="CA123" s="645"/>
      <c r="CB123" s="645"/>
      <c r="CC123" s="645"/>
      <c r="CD123" s="645"/>
      <c r="CE123" s="645"/>
      <c r="CF123" s="645"/>
    </row>
    <row r="124" spans="1:84" s="663" customFormat="1" ht="15.75" customHeight="1">
      <c r="A124" s="635">
        <v>118</v>
      </c>
      <c r="B124" s="642"/>
      <c r="C124" s="474" t="s">
        <v>2277</v>
      </c>
      <c r="D124" s="474" t="s">
        <v>2236</v>
      </c>
      <c r="E124" s="633"/>
      <c r="F124" s="580"/>
      <c r="G124" s="660"/>
      <c r="H124" s="660"/>
      <c r="I124" s="660"/>
      <c r="J124" s="664" t="s">
        <v>2255</v>
      </c>
      <c r="K124" s="648">
        <v>1</v>
      </c>
      <c r="L124" s="898"/>
      <c r="M124" s="636"/>
      <c r="N124" s="636"/>
      <c r="O124" s="636"/>
      <c r="P124" s="636"/>
      <c r="Q124" s="898"/>
      <c r="R124" s="898"/>
      <c r="S124" s="636">
        <f t="shared" si="10"/>
        <v>2300</v>
      </c>
      <c r="T124" s="637"/>
      <c r="U124" s="636">
        <f t="shared" si="8"/>
        <v>2300</v>
      </c>
      <c r="V124" s="636" t="str">
        <f t="shared" si="9"/>
        <v/>
      </c>
      <c r="W124" s="522">
        <v>2300</v>
      </c>
      <c r="X124" s="633"/>
      <c r="Y124" s="645"/>
      <c r="Z124" s="645"/>
      <c r="AA124" s="645"/>
      <c r="AB124" s="645"/>
      <c r="AC124" s="645"/>
      <c r="AD124" s="645"/>
      <c r="AE124" s="645"/>
      <c r="AF124" s="645"/>
      <c r="AG124" s="645"/>
      <c r="AH124" s="645"/>
      <c r="AI124" s="645"/>
      <c r="AJ124" s="645"/>
      <c r="AK124" s="645"/>
      <c r="AL124" s="645"/>
      <c r="AM124" s="645"/>
      <c r="AN124" s="645"/>
      <c r="AO124" s="645"/>
      <c r="AP124" s="645"/>
      <c r="AQ124" s="645"/>
      <c r="AR124" s="645"/>
      <c r="AS124" s="645"/>
      <c r="AT124" s="645"/>
      <c r="AU124" s="645"/>
      <c r="AV124" s="645"/>
      <c r="AW124" s="645"/>
      <c r="AX124" s="645"/>
      <c r="AY124" s="645"/>
      <c r="AZ124" s="645"/>
      <c r="BA124" s="645"/>
      <c r="BB124" s="645"/>
      <c r="BC124" s="645"/>
      <c r="BD124" s="645"/>
      <c r="BE124" s="645"/>
      <c r="BF124" s="645"/>
      <c r="BG124" s="645"/>
      <c r="BH124" s="645"/>
      <c r="BI124" s="645"/>
      <c r="BJ124" s="645"/>
      <c r="BK124" s="645"/>
      <c r="BL124" s="645"/>
      <c r="BM124" s="645"/>
      <c r="BN124" s="645"/>
      <c r="BO124" s="645"/>
      <c r="BP124" s="645"/>
      <c r="BQ124" s="645"/>
      <c r="BR124" s="645"/>
      <c r="BS124" s="645"/>
      <c r="BT124" s="645"/>
      <c r="BU124" s="645"/>
      <c r="BV124" s="645"/>
      <c r="BW124" s="645"/>
      <c r="BX124" s="645"/>
      <c r="BY124" s="645"/>
      <c r="BZ124" s="645"/>
      <c r="CA124" s="645"/>
      <c r="CB124" s="645"/>
      <c r="CC124" s="645"/>
      <c r="CD124" s="645"/>
      <c r="CE124" s="645"/>
      <c r="CF124" s="645"/>
    </row>
    <row r="125" spans="1:84" s="663" customFormat="1" ht="15.75" customHeight="1">
      <c r="A125" s="635">
        <v>119</v>
      </c>
      <c r="B125" s="642"/>
      <c r="C125" s="474" t="s">
        <v>2278</v>
      </c>
      <c r="D125" s="474" t="s">
        <v>2176</v>
      </c>
      <c r="E125" s="633"/>
      <c r="F125" s="580"/>
      <c r="G125" s="660"/>
      <c r="H125" s="660"/>
      <c r="I125" s="660"/>
      <c r="J125" s="664" t="s">
        <v>2255</v>
      </c>
      <c r="K125" s="648">
        <v>1</v>
      </c>
      <c r="L125" s="898"/>
      <c r="M125" s="636"/>
      <c r="N125" s="636"/>
      <c r="O125" s="636"/>
      <c r="P125" s="636"/>
      <c r="Q125" s="898"/>
      <c r="R125" s="898"/>
      <c r="S125" s="636">
        <f t="shared" si="10"/>
        <v>1800</v>
      </c>
      <c r="T125" s="637"/>
      <c r="U125" s="636">
        <f t="shared" si="8"/>
        <v>1800</v>
      </c>
      <c r="V125" s="636" t="str">
        <f t="shared" si="9"/>
        <v/>
      </c>
      <c r="W125" s="522">
        <v>1800</v>
      </c>
      <c r="X125" s="633"/>
      <c r="Y125" s="645"/>
      <c r="Z125" s="645"/>
      <c r="AA125" s="645"/>
      <c r="AB125" s="645"/>
      <c r="AC125" s="645"/>
      <c r="AD125" s="645"/>
      <c r="AE125" s="645"/>
      <c r="AF125" s="645"/>
      <c r="AG125" s="645"/>
      <c r="AH125" s="645"/>
      <c r="AI125" s="645"/>
      <c r="AJ125" s="645"/>
      <c r="AK125" s="645"/>
      <c r="AL125" s="645"/>
      <c r="AM125" s="645"/>
      <c r="AN125" s="645"/>
      <c r="AO125" s="645"/>
      <c r="AP125" s="645"/>
      <c r="AQ125" s="645"/>
      <c r="AR125" s="645"/>
      <c r="AS125" s="645"/>
      <c r="AT125" s="645"/>
      <c r="AU125" s="645"/>
      <c r="AV125" s="645"/>
      <c r="AW125" s="645"/>
      <c r="AX125" s="645"/>
      <c r="AY125" s="645"/>
      <c r="AZ125" s="645"/>
      <c r="BA125" s="645"/>
      <c r="BB125" s="645"/>
      <c r="BC125" s="645"/>
      <c r="BD125" s="645"/>
      <c r="BE125" s="645"/>
      <c r="BF125" s="645"/>
      <c r="BG125" s="645"/>
      <c r="BH125" s="645"/>
      <c r="BI125" s="645"/>
      <c r="BJ125" s="645"/>
      <c r="BK125" s="645"/>
      <c r="BL125" s="645"/>
      <c r="BM125" s="645"/>
      <c r="BN125" s="645"/>
      <c r="BO125" s="645"/>
      <c r="BP125" s="645"/>
      <c r="BQ125" s="645"/>
      <c r="BR125" s="645"/>
      <c r="BS125" s="645"/>
      <c r="BT125" s="645"/>
      <c r="BU125" s="645"/>
      <c r="BV125" s="645"/>
      <c r="BW125" s="645"/>
      <c r="BX125" s="645"/>
      <c r="BY125" s="645"/>
      <c r="BZ125" s="645"/>
      <c r="CA125" s="645"/>
      <c r="CB125" s="645"/>
      <c r="CC125" s="645"/>
      <c r="CD125" s="645"/>
      <c r="CE125" s="645"/>
      <c r="CF125" s="645"/>
    </row>
    <row r="126" spans="1:84" s="663" customFormat="1" ht="15.75" customHeight="1">
      <c r="A126" s="635">
        <v>120</v>
      </c>
      <c r="B126" s="642"/>
      <c r="C126" s="474" t="s">
        <v>2279</v>
      </c>
      <c r="D126" s="474" t="s">
        <v>2176</v>
      </c>
      <c r="E126" s="633"/>
      <c r="F126" s="580"/>
      <c r="G126" s="660"/>
      <c r="H126" s="660"/>
      <c r="I126" s="660"/>
      <c r="J126" s="664" t="s">
        <v>2255</v>
      </c>
      <c r="K126" s="648">
        <v>1</v>
      </c>
      <c r="L126" s="898"/>
      <c r="M126" s="636"/>
      <c r="N126" s="636"/>
      <c r="O126" s="636"/>
      <c r="P126" s="636"/>
      <c r="Q126" s="898"/>
      <c r="R126" s="898"/>
      <c r="S126" s="636">
        <f t="shared" si="10"/>
        <v>1800</v>
      </c>
      <c r="T126" s="637"/>
      <c r="U126" s="636">
        <f t="shared" si="8"/>
        <v>1800</v>
      </c>
      <c r="V126" s="636" t="str">
        <f t="shared" si="9"/>
        <v/>
      </c>
      <c r="W126" s="522">
        <v>1800</v>
      </c>
      <c r="X126" s="633"/>
      <c r="Y126" s="645"/>
      <c r="Z126" s="645"/>
      <c r="AA126" s="645"/>
      <c r="AB126" s="645"/>
      <c r="AC126" s="645"/>
      <c r="AD126" s="645"/>
      <c r="AE126" s="645"/>
      <c r="AF126" s="645"/>
      <c r="AG126" s="645"/>
      <c r="AH126" s="645"/>
      <c r="AI126" s="645"/>
      <c r="AJ126" s="645"/>
      <c r="AK126" s="645"/>
      <c r="AL126" s="645"/>
      <c r="AM126" s="645"/>
      <c r="AN126" s="645"/>
      <c r="AO126" s="645"/>
      <c r="AP126" s="645"/>
      <c r="AQ126" s="645"/>
      <c r="AR126" s="645"/>
      <c r="AS126" s="645"/>
      <c r="AT126" s="645"/>
      <c r="AU126" s="645"/>
      <c r="AV126" s="645"/>
      <c r="AW126" s="645"/>
      <c r="AX126" s="645"/>
      <c r="AY126" s="645"/>
      <c r="AZ126" s="645"/>
      <c r="BA126" s="645"/>
      <c r="BB126" s="645"/>
      <c r="BC126" s="645"/>
      <c r="BD126" s="645"/>
      <c r="BE126" s="645"/>
      <c r="BF126" s="645"/>
      <c r="BG126" s="645"/>
      <c r="BH126" s="645"/>
      <c r="BI126" s="645"/>
      <c r="BJ126" s="645"/>
      <c r="BK126" s="645"/>
      <c r="BL126" s="645"/>
      <c r="BM126" s="645"/>
      <c r="BN126" s="645"/>
      <c r="BO126" s="645"/>
      <c r="BP126" s="645"/>
      <c r="BQ126" s="645"/>
      <c r="BR126" s="645"/>
      <c r="BS126" s="645"/>
      <c r="BT126" s="645"/>
      <c r="BU126" s="645"/>
      <c r="BV126" s="645"/>
      <c r="BW126" s="645"/>
      <c r="BX126" s="645"/>
      <c r="BY126" s="645"/>
      <c r="BZ126" s="645"/>
      <c r="CA126" s="645"/>
      <c r="CB126" s="645"/>
      <c r="CC126" s="645"/>
      <c r="CD126" s="645"/>
      <c r="CE126" s="645"/>
      <c r="CF126" s="645"/>
    </row>
    <row r="127" spans="1:84" s="663" customFormat="1" ht="15.75" customHeight="1">
      <c r="A127" s="635">
        <v>121</v>
      </c>
      <c r="B127" s="642"/>
      <c r="C127" s="474" t="s">
        <v>2280</v>
      </c>
      <c r="D127" s="474" t="s">
        <v>2236</v>
      </c>
      <c r="E127" s="633"/>
      <c r="F127" s="580"/>
      <c r="G127" s="660"/>
      <c r="H127" s="660"/>
      <c r="I127" s="660"/>
      <c r="J127" s="664" t="s">
        <v>2255</v>
      </c>
      <c r="K127" s="648">
        <v>1</v>
      </c>
      <c r="L127" s="898"/>
      <c r="M127" s="636"/>
      <c r="N127" s="636"/>
      <c r="O127" s="636"/>
      <c r="P127" s="636"/>
      <c r="Q127" s="898"/>
      <c r="R127" s="898"/>
      <c r="S127" s="636">
        <f t="shared" si="10"/>
        <v>2300</v>
      </c>
      <c r="T127" s="637"/>
      <c r="U127" s="636">
        <f t="shared" si="8"/>
        <v>2300</v>
      </c>
      <c r="V127" s="636" t="str">
        <f t="shared" si="9"/>
        <v/>
      </c>
      <c r="W127" s="522">
        <v>2300</v>
      </c>
      <c r="X127" s="633"/>
      <c r="Y127" s="645"/>
      <c r="Z127" s="645"/>
      <c r="AA127" s="645"/>
      <c r="AB127" s="645"/>
      <c r="AC127" s="645"/>
      <c r="AD127" s="645"/>
      <c r="AE127" s="645"/>
      <c r="AF127" s="645"/>
      <c r="AG127" s="645"/>
      <c r="AH127" s="645"/>
      <c r="AI127" s="645"/>
      <c r="AJ127" s="645"/>
      <c r="AK127" s="645"/>
      <c r="AL127" s="645"/>
      <c r="AM127" s="645"/>
      <c r="AN127" s="645"/>
      <c r="AO127" s="645"/>
      <c r="AP127" s="645"/>
      <c r="AQ127" s="645"/>
      <c r="AR127" s="645"/>
      <c r="AS127" s="645"/>
      <c r="AT127" s="645"/>
      <c r="AU127" s="645"/>
      <c r="AV127" s="645"/>
      <c r="AW127" s="645"/>
      <c r="AX127" s="645"/>
      <c r="AY127" s="645"/>
      <c r="AZ127" s="645"/>
      <c r="BA127" s="645"/>
      <c r="BB127" s="645"/>
      <c r="BC127" s="645"/>
      <c r="BD127" s="645"/>
      <c r="BE127" s="645"/>
      <c r="BF127" s="645"/>
      <c r="BG127" s="645"/>
      <c r="BH127" s="645"/>
      <c r="BI127" s="645"/>
      <c r="BJ127" s="645"/>
      <c r="BK127" s="645"/>
      <c r="BL127" s="645"/>
      <c r="BM127" s="645"/>
      <c r="BN127" s="645"/>
      <c r="BO127" s="645"/>
      <c r="BP127" s="645"/>
      <c r="BQ127" s="645"/>
      <c r="BR127" s="645"/>
      <c r="BS127" s="645"/>
      <c r="BT127" s="645"/>
      <c r="BU127" s="645"/>
      <c r="BV127" s="645"/>
      <c r="BW127" s="645"/>
      <c r="BX127" s="645"/>
      <c r="BY127" s="645"/>
      <c r="BZ127" s="645"/>
      <c r="CA127" s="645"/>
      <c r="CB127" s="645"/>
      <c r="CC127" s="645"/>
      <c r="CD127" s="645"/>
      <c r="CE127" s="645"/>
      <c r="CF127" s="645"/>
    </row>
    <row r="128" spans="1:84" s="663" customFormat="1" ht="15.75" customHeight="1">
      <c r="A128" s="635">
        <v>122</v>
      </c>
      <c r="B128" s="642"/>
      <c r="C128" s="474" t="s">
        <v>2281</v>
      </c>
      <c r="D128" s="474" t="s">
        <v>2282</v>
      </c>
      <c r="E128" s="633"/>
      <c r="F128" s="580"/>
      <c r="G128" s="660"/>
      <c r="H128" s="660"/>
      <c r="I128" s="660"/>
      <c r="J128" s="664" t="s">
        <v>2255</v>
      </c>
      <c r="K128" s="648">
        <v>1</v>
      </c>
      <c r="L128" s="898"/>
      <c r="M128" s="636"/>
      <c r="N128" s="636"/>
      <c r="O128" s="636"/>
      <c r="P128" s="636"/>
      <c r="Q128" s="898"/>
      <c r="R128" s="898"/>
      <c r="S128" s="636">
        <f t="shared" si="10"/>
        <v>4800</v>
      </c>
      <c r="T128" s="637"/>
      <c r="U128" s="636">
        <f t="shared" si="8"/>
        <v>4800</v>
      </c>
      <c r="V128" s="636" t="str">
        <f t="shared" si="9"/>
        <v/>
      </c>
      <c r="W128" s="522">
        <v>4800</v>
      </c>
      <c r="X128" s="633"/>
      <c r="Y128" s="645"/>
      <c r="Z128" s="645"/>
      <c r="AA128" s="645"/>
      <c r="AB128" s="645"/>
      <c r="AC128" s="645"/>
      <c r="AD128" s="645"/>
      <c r="AE128" s="645"/>
      <c r="AF128" s="645"/>
      <c r="AG128" s="645"/>
      <c r="AH128" s="645"/>
      <c r="AI128" s="645"/>
      <c r="AJ128" s="645"/>
      <c r="AK128" s="645"/>
      <c r="AL128" s="645"/>
      <c r="AM128" s="645"/>
      <c r="AN128" s="645"/>
      <c r="AO128" s="645"/>
      <c r="AP128" s="645"/>
      <c r="AQ128" s="645"/>
      <c r="AR128" s="645"/>
      <c r="AS128" s="645"/>
      <c r="AT128" s="645"/>
      <c r="AU128" s="645"/>
      <c r="AV128" s="645"/>
      <c r="AW128" s="645"/>
      <c r="AX128" s="645"/>
      <c r="AY128" s="645"/>
      <c r="AZ128" s="645"/>
      <c r="BA128" s="645"/>
      <c r="BB128" s="645"/>
      <c r="BC128" s="645"/>
      <c r="BD128" s="645"/>
      <c r="BE128" s="645"/>
      <c r="BF128" s="645"/>
      <c r="BG128" s="645"/>
      <c r="BH128" s="645"/>
      <c r="BI128" s="645"/>
      <c r="BJ128" s="645"/>
      <c r="BK128" s="645"/>
      <c r="BL128" s="645"/>
      <c r="BM128" s="645"/>
      <c r="BN128" s="645"/>
      <c r="BO128" s="645"/>
      <c r="BP128" s="645"/>
      <c r="BQ128" s="645"/>
      <c r="BR128" s="645"/>
      <c r="BS128" s="645"/>
      <c r="BT128" s="645"/>
      <c r="BU128" s="645"/>
      <c r="BV128" s="645"/>
      <c r="BW128" s="645"/>
      <c r="BX128" s="645"/>
      <c r="BY128" s="645"/>
      <c r="BZ128" s="645"/>
      <c r="CA128" s="645"/>
      <c r="CB128" s="645"/>
      <c r="CC128" s="645"/>
      <c r="CD128" s="645"/>
      <c r="CE128" s="645"/>
      <c r="CF128" s="645"/>
    </row>
    <row r="129" spans="1:84" s="663" customFormat="1" ht="15.75" customHeight="1">
      <c r="A129" s="635">
        <v>123</v>
      </c>
      <c r="B129" s="642"/>
      <c r="C129" s="474" t="s">
        <v>2283</v>
      </c>
      <c r="D129" s="474" t="s">
        <v>2282</v>
      </c>
      <c r="E129" s="633"/>
      <c r="F129" s="580"/>
      <c r="G129" s="660"/>
      <c r="H129" s="660"/>
      <c r="I129" s="660"/>
      <c r="J129" s="664" t="s">
        <v>2255</v>
      </c>
      <c r="K129" s="648">
        <v>1</v>
      </c>
      <c r="L129" s="898"/>
      <c r="M129" s="636"/>
      <c r="N129" s="636"/>
      <c r="O129" s="636"/>
      <c r="P129" s="636"/>
      <c r="Q129" s="898"/>
      <c r="R129" s="898"/>
      <c r="S129" s="636">
        <f t="shared" si="10"/>
        <v>4800</v>
      </c>
      <c r="T129" s="637"/>
      <c r="U129" s="636">
        <f t="shared" si="8"/>
        <v>4800</v>
      </c>
      <c r="V129" s="636" t="str">
        <f t="shared" si="9"/>
        <v/>
      </c>
      <c r="W129" s="522">
        <v>4800</v>
      </c>
      <c r="X129" s="633"/>
      <c r="Y129" s="645"/>
      <c r="Z129" s="645"/>
      <c r="AA129" s="645"/>
      <c r="AB129" s="645"/>
      <c r="AC129" s="645"/>
      <c r="AD129" s="645"/>
      <c r="AE129" s="645"/>
      <c r="AF129" s="645"/>
      <c r="AG129" s="645"/>
      <c r="AH129" s="645"/>
      <c r="AI129" s="645"/>
      <c r="AJ129" s="645"/>
      <c r="AK129" s="645"/>
      <c r="AL129" s="645"/>
      <c r="AM129" s="645"/>
      <c r="AN129" s="645"/>
      <c r="AO129" s="645"/>
      <c r="AP129" s="645"/>
      <c r="AQ129" s="645"/>
      <c r="AR129" s="645"/>
      <c r="AS129" s="645"/>
      <c r="AT129" s="645"/>
      <c r="AU129" s="645"/>
      <c r="AV129" s="645"/>
      <c r="AW129" s="645"/>
      <c r="AX129" s="645"/>
      <c r="AY129" s="645"/>
      <c r="AZ129" s="645"/>
      <c r="BA129" s="645"/>
      <c r="BB129" s="645"/>
      <c r="BC129" s="645"/>
      <c r="BD129" s="645"/>
      <c r="BE129" s="645"/>
      <c r="BF129" s="645"/>
      <c r="BG129" s="645"/>
      <c r="BH129" s="645"/>
      <c r="BI129" s="645"/>
      <c r="BJ129" s="645"/>
      <c r="BK129" s="645"/>
      <c r="BL129" s="645"/>
      <c r="BM129" s="645"/>
      <c r="BN129" s="645"/>
      <c r="BO129" s="645"/>
      <c r="BP129" s="645"/>
      <c r="BQ129" s="645"/>
      <c r="BR129" s="645"/>
      <c r="BS129" s="645"/>
      <c r="BT129" s="645"/>
      <c r="BU129" s="645"/>
      <c r="BV129" s="645"/>
      <c r="BW129" s="645"/>
      <c r="BX129" s="645"/>
      <c r="BY129" s="645"/>
      <c r="BZ129" s="645"/>
      <c r="CA129" s="645"/>
      <c r="CB129" s="645"/>
      <c r="CC129" s="645"/>
      <c r="CD129" s="645"/>
      <c r="CE129" s="645"/>
      <c r="CF129" s="645"/>
    </row>
    <row r="130" spans="1:84" s="663" customFormat="1" ht="15.75" customHeight="1">
      <c r="A130" s="635">
        <v>124</v>
      </c>
      <c r="B130" s="642"/>
      <c r="C130" s="474" t="s">
        <v>2284</v>
      </c>
      <c r="D130" s="474" t="s">
        <v>2201</v>
      </c>
      <c r="E130" s="633"/>
      <c r="F130" s="580"/>
      <c r="G130" s="660"/>
      <c r="H130" s="660"/>
      <c r="I130" s="660"/>
      <c r="J130" s="664" t="s">
        <v>2255</v>
      </c>
      <c r="K130" s="648">
        <v>1</v>
      </c>
      <c r="L130" s="898"/>
      <c r="M130" s="636"/>
      <c r="N130" s="636"/>
      <c r="O130" s="636"/>
      <c r="P130" s="636"/>
      <c r="Q130" s="898"/>
      <c r="R130" s="898"/>
      <c r="S130" s="636">
        <f t="shared" si="10"/>
        <v>3700</v>
      </c>
      <c r="T130" s="637"/>
      <c r="U130" s="636">
        <f t="shared" si="8"/>
        <v>3700</v>
      </c>
      <c r="V130" s="636" t="str">
        <f t="shared" si="9"/>
        <v/>
      </c>
      <c r="W130" s="522">
        <v>3700</v>
      </c>
      <c r="X130" s="633"/>
      <c r="Y130" s="645"/>
      <c r="Z130" s="645"/>
      <c r="AA130" s="645"/>
      <c r="AB130" s="645"/>
      <c r="AC130" s="645"/>
      <c r="AD130" s="645"/>
      <c r="AE130" s="645"/>
      <c r="AF130" s="645"/>
      <c r="AG130" s="645"/>
      <c r="AH130" s="645"/>
      <c r="AI130" s="645"/>
      <c r="AJ130" s="645"/>
      <c r="AK130" s="645"/>
      <c r="AL130" s="645"/>
      <c r="AM130" s="645"/>
      <c r="AN130" s="645"/>
      <c r="AO130" s="645"/>
      <c r="AP130" s="645"/>
      <c r="AQ130" s="645"/>
      <c r="AR130" s="645"/>
      <c r="AS130" s="645"/>
      <c r="AT130" s="645"/>
      <c r="AU130" s="645"/>
      <c r="AV130" s="645"/>
      <c r="AW130" s="645"/>
      <c r="AX130" s="645"/>
      <c r="AY130" s="645"/>
      <c r="AZ130" s="645"/>
      <c r="BA130" s="645"/>
      <c r="BB130" s="645"/>
      <c r="BC130" s="645"/>
      <c r="BD130" s="645"/>
      <c r="BE130" s="645"/>
      <c r="BF130" s="645"/>
      <c r="BG130" s="645"/>
      <c r="BH130" s="645"/>
      <c r="BI130" s="645"/>
      <c r="BJ130" s="645"/>
      <c r="BK130" s="645"/>
      <c r="BL130" s="645"/>
      <c r="BM130" s="645"/>
      <c r="BN130" s="645"/>
      <c r="BO130" s="645"/>
      <c r="BP130" s="645"/>
      <c r="BQ130" s="645"/>
      <c r="BR130" s="645"/>
      <c r="BS130" s="645"/>
      <c r="BT130" s="645"/>
      <c r="BU130" s="645"/>
      <c r="BV130" s="645"/>
      <c r="BW130" s="645"/>
      <c r="BX130" s="645"/>
      <c r="BY130" s="645"/>
      <c r="BZ130" s="645"/>
      <c r="CA130" s="645"/>
      <c r="CB130" s="645"/>
      <c r="CC130" s="645"/>
      <c r="CD130" s="645"/>
      <c r="CE130" s="645"/>
      <c r="CF130" s="645"/>
    </row>
    <row r="131" spans="1:84" s="663" customFormat="1" ht="15.75" customHeight="1">
      <c r="A131" s="635">
        <v>125</v>
      </c>
      <c r="B131" s="642"/>
      <c r="C131" s="474" t="s">
        <v>2285</v>
      </c>
      <c r="D131" s="474" t="s">
        <v>2236</v>
      </c>
      <c r="E131" s="633"/>
      <c r="F131" s="580"/>
      <c r="G131" s="660"/>
      <c r="H131" s="660"/>
      <c r="I131" s="660"/>
      <c r="J131" s="664" t="s">
        <v>2255</v>
      </c>
      <c r="K131" s="648">
        <v>1</v>
      </c>
      <c r="L131" s="898"/>
      <c r="M131" s="636"/>
      <c r="N131" s="636"/>
      <c r="O131" s="636"/>
      <c r="P131" s="636"/>
      <c r="Q131" s="898"/>
      <c r="R131" s="898"/>
      <c r="S131" s="636">
        <f t="shared" si="10"/>
        <v>2300</v>
      </c>
      <c r="T131" s="637"/>
      <c r="U131" s="636">
        <f t="shared" si="8"/>
        <v>2300</v>
      </c>
      <c r="V131" s="636" t="str">
        <f t="shared" si="9"/>
        <v/>
      </c>
      <c r="W131" s="522">
        <v>2300</v>
      </c>
      <c r="X131" s="633"/>
      <c r="Y131" s="645"/>
      <c r="Z131" s="645"/>
      <c r="AA131" s="645"/>
      <c r="AB131" s="645"/>
      <c r="AC131" s="645"/>
      <c r="AD131" s="645"/>
      <c r="AE131" s="645"/>
      <c r="AF131" s="645"/>
      <c r="AG131" s="645"/>
      <c r="AH131" s="645"/>
      <c r="AI131" s="645"/>
      <c r="AJ131" s="645"/>
      <c r="AK131" s="645"/>
      <c r="AL131" s="645"/>
      <c r="AM131" s="645"/>
      <c r="AN131" s="645"/>
      <c r="AO131" s="645"/>
      <c r="AP131" s="645"/>
      <c r="AQ131" s="645"/>
      <c r="AR131" s="645"/>
      <c r="AS131" s="645"/>
      <c r="AT131" s="645"/>
      <c r="AU131" s="645"/>
      <c r="AV131" s="645"/>
      <c r="AW131" s="645"/>
      <c r="AX131" s="645"/>
      <c r="AY131" s="645"/>
      <c r="AZ131" s="645"/>
      <c r="BA131" s="645"/>
      <c r="BB131" s="645"/>
      <c r="BC131" s="645"/>
      <c r="BD131" s="645"/>
      <c r="BE131" s="645"/>
      <c r="BF131" s="645"/>
      <c r="BG131" s="645"/>
      <c r="BH131" s="645"/>
      <c r="BI131" s="645"/>
      <c r="BJ131" s="645"/>
      <c r="BK131" s="645"/>
      <c r="BL131" s="645"/>
      <c r="BM131" s="645"/>
      <c r="BN131" s="645"/>
      <c r="BO131" s="645"/>
      <c r="BP131" s="645"/>
      <c r="BQ131" s="645"/>
      <c r="BR131" s="645"/>
      <c r="BS131" s="645"/>
      <c r="BT131" s="645"/>
      <c r="BU131" s="645"/>
      <c r="BV131" s="645"/>
      <c r="BW131" s="645"/>
      <c r="BX131" s="645"/>
      <c r="BY131" s="645"/>
      <c r="BZ131" s="645"/>
      <c r="CA131" s="645"/>
      <c r="CB131" s="645"/>
      <c r="CC131" s="645"/>
      <c r="CD131" s="645"/>
      <c r="CE131" s="645"/>
      <c r="CF131" s="645"/>
    </row>
    <row r="132" spans="1:84" s="663" customFormat="1" ht="15.75" customHeight="1">
      <c r="A132" s="635">
        <v>126</v>
      </c>
      <c r="B132" s="642"/>
      <c r="C132" s="474" t="s">
        <v>2286</v>
      </c>
      <c r="D132" s="474" t="s">
        <v>2236</v>
      </c>
      <c r="E132" s="633"/>
      <c r="F132" s="580"/>
      <c r="G132" s="660"/>
      <c r="H132" s="660"/>
      <c r="I132" s="660"/>
      <c r="J132" s="664" t="s">
        <v>2255</v>
      </c>
      <c r="K132" s="648">
        <v>1</v>
      </c>
      <c r="L132" s="898"/>
      <c r="M132" s="636"/>
      <c r="N132" s="636"/>
      <c r="O132" s="636"/>
      <c r="P132" s="636"/>
      <c r="Q132" s="898"/>
      <c r="R132" s="898"/>
      <c r="S132" s="636">
        <f t="shared" si="10"/>
        <v>2300</v>
      </c>
      <c r="T132" s="637"/>
      <c r="U132" s="636">
        <f t="shared" si="8"/>
        <v>2300</v>
      </c>
      <c r="V132" s="636" t="str">
        <f t="shared" si="9"/>
        <v/>
      </c>
      <c r="W132" s="522">
        <v>2300</v>
      </c>
      <c r="X132" s="633"/>
      <c r="Y132" s="645"/>
      <c r="Z132" s="645"/>
      <c r="AA132" s="645"/>
      <c r="AB132" s="645"/>
      <c r="AC132" s="645"/>
      <c r="AD132" s="645"/>
      <c r="AE132" s="645"/>
      <c r="AF132" s="645"/>
      <c r="AG132" s="645"/>
      <c r="AH132" s="645"/>
      <c r="AI132" s="645"/>
      <c r="AJ132" s="645"/>
      <c r="AK132" s="645"/>
      <c r="AL132" s="645"/>
      <c r="AM132" s="645"/>
      <c r="AN132" s="645"/>
      <c r="AO132" s="645"/>
      <c r="AP132" s="645"/>
      <c r="AQ132" s="645"/>
      <c r="AR132" s="645"/>
      <c r="AS132" s="645"/>
      <c r="AT132" s="645"/>
      <c r="AU132" s="645"/>
      <c r="AV132" s="645"/>
      <c r="AW132" s="645"/>
      <c r="AX132" s="645"/>
      <c r="AY132" s="645"/>
      <c r="AZ132" s="645"/>
      <c r="BA132" s="645"/>
      <c r="BB132" s="645"/>
      <c r="BC132" s="645"/>
      <c r="BD132" s="645"/>
      <c r="BE132" s="645"/>
      <c r="BF132" s="645"/>
      <c r="BG132" s="645"/>
      <c r="BH132" s="645"/>
      <c r="BI132" s="645"/>
      <c r="BJ132" s="645"/>
      <c r="BK132" s="645"/>
      <c r="BL132" s="645"/>
      <c r="BM132" s="645"/>
      <c r="BN132" s="645"/>
      <c r="BO132" s="645"/>
      <c r="BP132" s="645"/>
      <c r="BQ132" s="645"/>
      <c r="BR132" s="645"/>
      <c r="BS132" s="645"/>
      <c r="BT132" s="645"/>
      <c r="BU132" s="645"/>
      <c r="BV132" s="645"/>
      <c r="BW132" s="645"/>
      <c r="BX132" s="645"/>
      <c r="BY132" s="645"/>
      <c r="BZ132" s="645"/>
      <c r="CA132" s="645"/>
      <c r="CB132" s="645"/>
      <c r="CC132" s="645"/>
      <c r="CD132" s="645"/>
      <c r="CE132" s="645"/>
      <c r="CF132" s="645"/>
    </row>
    <row r="133" spans="1:84" s="663" customFormat="1" ht="15.75" customHeight="1">
      <c r="A133" s="635">
        <v>127</v>
      </c>
      <c r="B133" s="642"/>
      <c r="C133" s="474" t="s">
        <v>2287</v>
      </c>
      <c r="D133" s="474" t="s">
        <v>2201</v>
      </c>
      <c r="E133" s="633"/>
      <c r="F133" s="580"/>
      <c r="G133" s="660"/>
      <c r="H133" s="660"/>
      <c r="I133" s="660"/>
      <c r="J133" s="664" t="s">
        <v>2255</v>
      </c>
      <c r="K133" s="648">
        <v>1</v>
      </c>
      <c r="L133" s="898"/>
      <c r="M133" s="636"/>
      <c r="N133" s="636"/>
      <c r="O133" s="636"/>
      <c r="P133" s="636"/>
      <c r="Q133" s="898"/>
      <c r="R133" s="898"/>
      <c r="S133" s="636">
        <f t="shared" si="10"/>
        <v>3700</v>
      </c>
      <c r="T133" s="637"/>
      <c r="U133" s="636">
        <f t="shared" si="8"/>
        <v>3700</v>
      </c>
      <c r="V133" s="636" t="str">
        <f t="shared" si="9"/>
        <v/>
      </c>
      <c r="W133" s="522">
        <v>3700</v>
      </c>
      <c r="X133" s="633"/>
      <c r="Y133" s="645"/>
      <c r="Z133" s="645"/>
      <c r="AA133" s="645"/>
      <c r="AB133" s="645"/>
      <c r="AC133" s="645"/>
      <c r="AD133" s="645"/>
      <c r="AE133" s="645"/>
      <c r="AF133" s="645"/>
      <c r="AG133" s="645"/>
      <c r="AH133" s="645"/>
      <c r="AI133" s="645"/>
      <c r="AJ133" s="645"/>
      <c r="AK133" s="645"/>
      <c r="AL133" s="645"/>
      <c r="AM133" s="645"/>
      <c r="AN133" s="645"/>
      <c r="AO133" s="645"/>
      <c r="AP133" s="645"/>
      <c r="AQ133" s="645"/>
      <c r="AR133" s="645"/>
      <c r="AS133" s="645"/>
      <c r="AT133" s="645"/>
      <c r="AU133" s="645"/>
      <c r="AV133" s="645"/>
      <c r="AW133" s="645"/>
      <c r="AX133" s="645"/>
      <c r="AY133" s="645"/>
      <c r="AZ133" s="645"/>
      <c r="BA133" s="645"/>
      <c r="BB133" s="645"/>
      <c r="BC133" s="645"/>
      <c r="BD133" s="645"/>
      <c r="BE133" s="645"/>
      <c r="BF133" s="645"/>
      <c r="BG133" s="645"/>
      <c r="BH133" s="645"/>
      <c r="BI133" s="645"/>
      <c r="BJ133" s="645"/>
      <c r="BK133" s="645"/>
      <c r="BL133" s="645"/>
      <c r="BM133" s="645"/>
      <c r="BN133" s="645"/>
      <c r="BO133" s="645"/>
      <c r="BP133" s="645"/>
      <c r="BQ133" s="645"/>
      <c r="BR133" s="645"/>
      <c r="BS133" s="645"/>
      <c r="BT133" s="645"/>
      <c r="BU133" s="645"/>
      <c r="BV133" s="645"/>
      <c r="BW133" s="645"/>
      <c r="BX133" s="645"/>
      <c r="BY133" s="645"/>
      <c r="BZ133" s="645"/>
      <c r="CA133" s="645"/>
      <c r="CB133" s="645"/>
      <c r="CC133" s="645"/>
      <c r="CD133" s="645"/>
      <c r="CE133" s="645"/>
      <c r="CF133" s="645"/>
    </row>
    <row r="134" spans="1:84" s="663" customFormat="1" ht="15.75" customHeight="1">
      <c r="A134" s="635">
        <v>128</v>
      </c>
      <c r="B134" s="642"/>
      <c r="C134" s="474" t="s">
        <v>2288</v>
      </c>
      <c r="D134" s="474" t="s">
        <v>2201</v>
      </c>
      <c r="E134" s="633"/>
      <c r="F134" s="580"/>
      <c r="G134" s="660"/>
      <c r="H134" s="660"/>
      <c r="I134" s="660"/>
      <c r="J134" s="664" t="s">
        <v>2255</v>
      </c>
      <c r="K134" s="648">
        <v>1</v>
      </c>
      <c r="L134" s="898"/>
      <c r="M134" s="636"/>
      <c r="N134" s="636"/>
      <c r="O134" s="636"/>
      <c r="P134" s="636"/>
      <c r="Q134" s="898"/>
      <c r="R134" s="898"/>
      <c r="S134" s="636">
        <f t="shared" si="10"/>
        <v>3700</v>
      </c>
      <c r="T134" s="637"/>
      <c r="U134" s="636">
        <f t="shared" si="8"/>
        <v>3700</v>
      </c>
      <c r="V134" s="636" t="str">
        <f t="shared" si="9"/>
        <v/>
      </c>
      <c r="W134" s="522">
        <v>3700</v>
      </c>
      <c r="X134" s="633"/>
      <c r="Y134" s="645"/>
      <c r="Z134" s="645"/>
      <c r="AA134" s="645"/>
      <c r="AB134" s="645"/>
      <c r="AC134" s="645"/>
      <c r="AD134" s="645"/>
      <c r="AE134" s="645"/>
      <c r="AF134" s="645"/>
      <c r="AG134" s="645"/>
      <c r="AH134" s="645"/>
      <c r="AI134" s="645"/>
      <c r="AJ134" s="645"/>
      <c r="AK134" s="645"/>
      <c r="AL134" s="645"/>
      <c r="AM134" s="645"/>
      <c r="AN134" s="645"/>
      <c r="AO134" s="645"/>
      <c r="AP134" s="645"/>
      <c r="AQ134" s="645"/>
      <c r="AR134" s="645"/>
      <c r="AS134" s="645"/>
      <c r="AT134" s="645"/>
      <c r="AU134" s="645"/>
      <c r="AV134" s="645"/>
      <c r="AW134" s="645"/>
      <c r="AX134" s="645"/>
      <c r="AY134" s="645"/>
      <c r="AZ134" s="645"/>
      <c r="BA134" s="645"/>
      <c r="BB134" s="645"/>
      <c r="BC134" s="645"/>
      <c r="BD134" s="645"/>
      <c r="BE134" s="645"/>
      <c r="BF134" s="645"/>
      <c r="BG134" s="645"/>
      <c r="BH134" s="645"/>
      <c r="BI134" s="645"/>
      <c r="BJ134" s="645"/>
      <c r="BK134" s="645"/>
      <c r="BL134" s="645"/>
      <c r="BM134" s="645"/>
      <c r="BN134" s="645"/>
      <c r="BO134" s="645"/>
      <c r="BP134" s="645"/>
      <c r="BQ134" s="645"/>
      <c r="BR134" s="645"/>
      <c r="BS134" s="645"/>
      <c r="BT134" s="645"/>
      <c r="BU134" s="645"/>
      <c r="BV134" s="645"/>
      <c r="BW134" s="645"/>
      <c r="BX134" s="645"/>
      <c r="BY134" s="645"/>
      <c r="BZ134" s="645"/>
      <c r="CA134" s="645"/>
      <c r="CB134" s="645"/>
      <c r="CC134" s="645"/>
      <c r="CD134" s="645"/>
      <c r="CE134" s="645"/>
      <c r="CF134" s="645"/>
    </row>
    <row r="135" spans="1:84" s="663" customFormat="1" ht="15.75" customHeight="1">
      <c r="A135" s="635">
        <v>129</v>
      </c>
      <c r="B135" s="642"/>
      <c r="C135" s="474" t="s">
        <v>2289</v>
      </c>
      <c r="D135" s="474" t="s">
        <v>2290</v>
      </c>
      <c r="E135" s="633"/>
      <c r="F135" s="580"/>
      <c r="G135" s="660"/>
      <c r="H135" s="660"/>
      <c r="I135" s="660"/>
      <c r="J135" s="664" t="s">
        <v>2255</v>
      </c>
      <c r="K135" s="648">
        <v>1</v>
      </c>
      <c r="L135" s="898"/>
      <c r="M135" s="636"/>
      <c r="N135" s="636"/>
      <c r="O135" s="636"/>
      <c r="P135" s="636"/>
      <c r="Q135" s="898"/>
      <c r="R135" s="898"/>
      <c r="S135" s="636">
        <f t="shared" si="10"/>
        <v>800</v>
      </c>
      <c r="T135" s="637"/>
      <c r="U135" s="636">
        <f t="shared" si="8"/>
        <v>800</v>
      </c>
      <c r="V135" s="636" t="str">
        <f t="shared" si="9"/>
        <v/>
      </c>
      <c r="W135" s="522">
        <v>800</v>
      </c>
      <c r="X135" s="633"/>
      <c r="Y135" s="645"/>
      <c r="Z135" s="645"/>
      <c r="AA135" s="645"/>
      <c r="AB135" s="645"/>
      <c r="AC135" s="645"/>
      <c r="AD135" s="645"/>
      <c r="AE135" s="645"/>
      <c r="AF135" s="645"/>
      <c r="AG135" s="645"/>
      <c r="AH135" s="645"/>
      <c r="AI135" s="645"/>
      <c r="AJ135" s="645"/>
      <c r="AK135" s="645"/>
      <c r="AL135" s="645"/>
      <c r="AM135" s="645"/>
      <c r="AN135" s="645"/>
      <c r="AO135" s="645"/>
      <c r="AP135" s="645"/>
      <c r="AQ135" s="645"/>
      <c r="AR135" s="645"/>
      <c r="AS135" s="645"/>
      <c r="AT135" s="645"/>
      <c r="AU135" s="645"/>
      <c r="AV135" s="645"/>
      <c r="AW135" s="645"/>
      <c r="AX135" s="645"/>
      <c r="AY135" s="645"/>
      <c r="AZ135" s="645"/>
      <c r="BA135" s="645"/>
      <c r="BB135" s="645"/>
      <c r="BC135" s="645"/>
      <c r="BD135" s="645"/>
      <c r="BE135" s="645"/>
      <c r="BF135" s="645"/>
      <c r="BG135" s="645"/>
      <c r="BH135" s="645"/>
      <c r="BI135" s="645"/>
      <c r="BJ135" s="645"/>
      <c r="BK135" s="645"/>
      <c r="BL135" s="645"/>
      <c r="BM135" s="645"/>
      <c r="BN135" s="645"/>
      <c r="BO135" s="645"/>
      <c r="BP135" s="645"/>
      <c r="BQ135" s="645"/>
      <c r="BR135" s="645"/>
      <c r="BS135" s="645"/>
      <c r="BT135" s="645"/>
      <c r="BU135" s="645"/>
      <c r="BV135" s="645"/>
      <c r="BW135" s="645"/>
      <c r="BX135" s="645"/>
      <c r="BY135" s="645"/>
      <c r="BZ135" s="645"/>
      <c r="CA135" s="645"/>
      <c r="CB135" s="645"/>
      <c r="CC135" s="645"/>
      <c r="CD135" s="645"/>
      <c r="CE135" s="645"/>
      <c r="CF135" s="645"/>
    </row>
    <row r="136" spans="1:84" s="663" customFormat="1" ht="15.75" customHeight="1">
      <c r="A136" s="635">
        <v>130</v>
      </c>
      <c r="B136" s="642"/>
      <c r="C136" s="474" t="s">
        <v>2291</v>
      </c>
      <c r="D136" s="474" t="s">
        <v>2248</v>
      </c>
      <c r="E136" s="633"/>
      <c r="F136" s="580"/>
      <c r="G136" s="660"/>
      <c r="H136" s="660"/>
      <c r="I136" s="660"/>
      <c r="J136" s="664" t="s">
        <v>2255</v>
      </c>
      <c r="K136" s="648">
        <v>1</v>
      </c>
      <c r="L136" s="898"/>
      <c r="M136" s="636"/>
      <c r="N136" s="636"/>
      <c r="O136" s="636"/>
      <c r="P136" s="636"/>
      <c r="Q136" s="898"/>
      <c r="R136" s="898"/>
      <c r="S136" s="636">
        <f t="shared" si="10"/>
        <v>2300</v>
      </c>
      <c r="T136" s="637"/>
      <c r="U136" s="636">
        <f t="shared" ref="U136:U144" si="11">S136</f>
        <v>2300</v>
      </c>
      <c r="V136" s="636" t="str">
        <f t="shared" ref="V136:V144" si="12">IF(R136=0,"",(U136-R136)/R136*100)</f>
        <v/>
      </c>
      <c r="W136" s="522">
        <v>2300</v>
      </c>
      <c r="X136" s="633"/>
      <c r="Y136" s="645"/>
      <c r="Z136" s="645"/>
      <c r="AA136" s="645"/>
      <c r="AB136" s="645"/>
      <c r="AC136" s="645"/>
      <c r="AD136" s="645"/>
      <c r="AE136" s="645"/>
      <c r="AF136" s="645"/>
      <c r="AG136" s="645"/>
      <c r="AH136" s="645"/>
      <c r="AI136" s="645"/>
      <c r="AJ136" s="645"/>
      <c r="AK136" s="645"/>
      <c r="AL136" s="645"/>
      <c r="AM136" s="645"/>
      <c r="AN136" s="645"/>
      <c r="AO136" s="645"/>
      <c r="AP136" s="645"/>
      <c r="AQ136" s="645"/>
      <c r="AR136" s="645"/>
      <c r="AS136" s="645"/>
      <c r="AT136" s="645"/>
      <c r="AU136" s="645"/>
      <c r="AV136" s="645"/>
      <c r="AW136" s="645"/>
      <c r="AX136" s="645"/>
      <c r="AY136" s="645"/>
      <c r="AZ136" s="645"/>
      <c r="BA136" s="645"/>
      <c r="BB136" s="645"/>
      <c r="BC136" s="645"/>
      <c r="BD136" s="645"/>
      <c r="BE136" s="645"/>
      <c r="BF136" s="645"/>
      <c r="BG136" s="645"/>
      <c r="BH136" s="645"/>
      <c r="BI136" s="645"/>
      <c r="BJ136" s="645"/>
      <c r="BK136" s="645"/>
      <c r="BL136" s="645"/>
      <c r="BM136" s="645"/>
      <c r="BN136" s="645"/>
      <c r="BO136" s="645"/>
      <c r="BP136" s="645"/>
      <c r="BQ136" s="645"/>
      <c r="BR136" s="645"/>
      <c r="BS136" s="645"/>
      <c r="BT136" s="645"/>
      <c r="BU136" s="645"/>
      <c r="BV136" s="645"/>
      <c r="BW136" s="645"/>
      <c r="BX136" s="645"/>
      <c r="BY136" s="645"/>
      <c r="BZ136" s="645"/>
      <c r="CA136" s="645"/>
      <c r="CB136" s="645"/>
      <c r="CC136" s="645"/>
      <c r="CD136" s="645"/>
      <c r="CE136" s="645"/>
      <c r="CF136" s="645"/>
    </row>
    <row r="137" spans="1:84" s="663" customFormat="1" ht="15.75" customHeight="1">
      <c r="A137" s="635">
        <v>131</v>
      </c>
      <c r="B137" s="642"/>
      <c r="C137" s="474" t="s">
        <v>2292</v>
      </c>
      <c r="D137" s="474" t="s">
        <v>2176</v>
      </c>
      <c r="E137" s="633"/>
      <c r="F137" s="580"/>
      <c r="G137" s="660"/>
      <c r="H137" s="660"/>
      <c r="I137" s="660"/>
      <c r="J137" s="664" t="s">
        <v>2255</v>
      </c>
      <c r="K137" s="648">
        <v>1</v>
      </c>
      <c r="L137" s="898"/>
      <c r="M137" s="636"/>
      <c r="N137" s="636"/>
      <c r="O137" s="636"/>
      <c r="P137" s="636"/>
      <c r="Q137" s="898"/>
      <c r="R137" s="898"/>
      <c r="S137" s="636">
        <f t="shared" si="10"/>
        <v>1800</v>
      </c>
      <c r="T137" s="637"/>
      <c r="U137" s="636">
        <f t="shared" si="11"/>
        <v>1800</v>
      </c>
      <c r="V137" s="636" t="str">
        <f t="shared" si="12"/>
        <v/>
      </c>
      <c r="W137" s="522">
        <v>1800</v>
      </c>
      <c r="X137" s="633"/>
      <c r="Y137" s="645"/>
      <c r="Z137" s="645"/>
      <c r="AA137" s="645"/>
      <c r="AB137" s="645"/>
      <c r="AC137" s="645"/>
      <c r="AD137" s="645"/>
      <c r="AE137" s="645"/>
      <c r="AF137" s="645"/>
      <c r="AG137" s="645"/>
      <c r="AH137" s="645"/>
      <c r="AI137" s="645"/>
      <c r="AJ137" s="645"/>
      <c r="AK137" s="645"/>
      <c r="AL137" s="645"/>
      <c r="AM137" s="645"/>
      <c r="AN137" s="645"/>
      <c r="AO137" s="645"/>
      <c r="AP137" s="645"/>
      <c r="AQ137" s="645"/>
      <c r="AR137" s="645"/>
      <c r="AS137" s="645"/>
      <c r="AT137" s="645"/>
      <c r="AU137" s="645"/>
      <c r="AV137" s="645"/>
      <c r="AW137" s="645"/>
      <c r="AX137" s="645"/>
      <c r="AY137" s="645"/>
      <c r="AZ137" s="645"/>
      <c r="BA137" s="645"/>
      <c r="BB137" s="645"/>
      <c r="BC137" s="645"/>
      <c r="BD137" s="645"/>
      <c r="BE137" s="645"/>
      <c r="BF137" s="645"/>
      <c r="BG137" s="645"/>
      <c r="BH137" s="645"/>
      <c r="BI137" s="645"/>
      <c r="BJ137" s="645"/>
      <c r="BK137" s="645"/>
      <c r="BL137" s="645"/>
      <c r="BM137" s="645"/>
      <c r="BN137" s="645"/>
      <c r="BO137" s="645"/>
      <c r="BP137" s="645"/>
      <c r="BQ137" s="645"/>
      <c r="BR137" s="645"/>
      <c r="BS137" s="645"/>
      <c r="BT137" s="645"/>
      <c r="BU137" s="645"/>
      <c r="BV137" s="645"/>
      <c r="BW137" s="645"/>
      <c r="BX137" s="645"/>
      <c r="BY137" s="645"/>
      <c r="BZ137" s="645"/>
      <c r="CA137" s="645"/>
      <c r="CB137" s="645"/>
      <c r="CC137" s="645"/>
      <c r="CD137" s="645"/>
      <c r="CE137" s="645"/>
      <c r="CF137" s="645"/>
    </row>
    <row r="138" spans="1:84" s="663" customFormat="1" ht="15.75" customHeight="1">
      <c r="A138" s="635">
        <v>132</v>
      </c>
      <c r="B138" s="642"/>
      <c r="C138" s="474" t="s">
        <v>2293</v>
      </c>
      <c r="D138" s="474" t="s">
        <v>2176</v>
      </c>
      <c r="E138" s="633"/>
      <c r="F138" s="580"/>
      <c r="G138" s="660"/>
      <c r="H138" s="660"/>
      <c r="I138" s="660"/>
      <c r="J138" s="664" t="s">
        <v>2255</v>
      </c>
      <c r="K138" s="648">
        <v>1</v>
      </c>
      <c r="L138" s="898"/>
      <c r="M138" s="636"/>
      <c r="N138" s="636"/>
      <c r="O138" s="636"/>
      <c r="P138" s="636"/>
      <c r="Q138" s="898"/>
      <c r="R138" s="898"/>
      <c r="S138" s="636">
        <f t="shared" si="10"/>
        <v>1800</v>
      </c>
      <c r="T138" s="637"/>
      <c r="U138" s="636">
        <f t="shared" si="11"/>
        <v>1800</v>
      </c>
      <c r="V138" s="636" t="str">
        <f t="shared" si="12"/>
        <v/>
      </c>
      <c r="W138" s="522">
        <v>1800</v>
      </c>
      <c r="X138" s="633"/>
      <c r="Y138" s="645"/>
      <c r="Z138" s="645"/>
      <c r="AA138" s="645"/>
      <c r="AB138" s="645"/>
      <c r="AC138" s="645"/>
      <c r="AD138" s="645"/>
      <c r="AE138" s="645"/>
      <c r="AF138" s="645"/>
      <c r="AG138" s="645"/>
      <c r="AH138" s="645"/>
      <c r="AI138" s="645"/>
      <c r="AJ138" s="645"/>
      <c r="AK138" s="645"/>
      <c r="AL138" s="645"/>
      <c r="AM138" s="645"/>
      <c r="AN138" s="645"/>
      <c r="AO138" s="645"/>
      <c r="AP138" s="645"/>
      <c r="AQ138" s="645"/>
      <c r="AR138" s="645"/>
      <c r="AS138" s="645"/>
      <c r="AT138" s="645"/>
      <c r="AU138" s="645"/>
      <c r="AV138" s="645"/>
      <c r="AW138" s="645"/>
      <c r="AX138" s="645"/>
      <c r="AY138" s="645"/>
      <c r="AZ138" s="645"/>
      <c r="BA138" s="645"/>
      <c r="BB138" s="645"/>
      <c r="BC138" s="645"/>
      <c r="BD138" s="645"/>
      <c r="BE138" s="645"/>
      <c r="BF138" s="645"/>
      <c r="BG138" s="645"/>
      <c r="BH138" s="645"/>
      <c r="BI138" s="645"/>
      <c r="BJ138" s="645"/>
      <c r="BK138" s="645"/>
      <c r="BL138" s="645"/>
      <c r="BM138" s="645"/>
      <c r="BN138" s="645"/>
      <c r="BO138" s="645"/>
      <c r="BP138" s="645"/>
      <c r="BQ138" s="645"/>
      <c r="BR138" s="645"/>
      <c r="BS138" s="645"/>
      <c r="BT138" s="645"/>
      <c r="BU138" s="645"/>
      <c r="BV138" s="645"/>
      <c r="BW138" s="645"/>
      <c r="BX138" s="645"/>
      <c r="BY138" s="645"/>
      <c r="BZ138" s="645"/>
      <c r="CA138" s="645"/>
      <c r="CB138" s="645"/>
      <c r="CC138" s="645"/>
      <c r="CD138" s="645"/>
      <c r="CE138" s="645"/>
      <c r="CF138" s="645"/>
    </row>
    <row r="139" spans="1:84" s="663" customFormat="1" ht="15.75" customHeight="1">
      <c r="A139" s="635">
        <v>133</v>
      </c>
      <c r="B139" s="642"/>
      <c r="C139" s="474" t="s">
        <v>2294</v>
      </c>
      <c r="D139" s="474" t="s">
        <v>2248</v>
      </c>
      <c r="E139" s="633"/>
      <c r="F139" s="580"/>
      <c r="G139" s="660"/>
      <c r="H139" s="660"/>
      <c r="I139" s="660"/>
      <c r="J139" s="664" t="s">
        <v>2255</v>
      </c>
      <c r="K139" s="648">
        <v>1</v>
      </c>
      <c r="L139" s="898"/>
      <c r="M139" s="636"/>
      <c r="N139" s="636"/>
      <c r="O139" s="636"/>
      <c r="P139" s="636"/>
      <c r="Q139" s="898"/>
      <c r="R139" s="898"/>
      <c r="S139" s="636">
        <f t="shared" si="10"/>
        <v>2300</v>
      </c>
      <c r="T139" s="637"/>
      <c r="U139" s="636">
        <f t="shared" si="11"/>
        <v>2300</v>
      </c>
      <c r="V139" s="636" t="str">
        <f t="shared" si="12"/>
        <v/>
      </c>
      <c r="W139" s="522">
        <v>2300</v>
      </c>
      <c r="X139" s="633"/>
      <c r="Y139" s="645"/>
      <c r="Z139" s="645"/>
      <c r="AA139" s="645"/>
      <c r="AB139" s="645"/>
      <c r="AC139" s="645"/>
      <c r="AD139" s="645"/>
      <c r="AE139" s="645"/>
      <c r="AF139" s="645"/>
      <c r="AG139" s="645"/>
      <c r="AH139" s="645"/>
      <c r="AI139" s="645"/>
      <c r="AJ139" s="645"/>
      <c r="AK139" s="645"/>
      <c r="AL139" s="645"/>
      <c r="AM139" s="645"/>
      <c r="AN139" s="645"/>
      <c r="AO139" s="645"/>
      <c r="AP139" s="645"/>
      <c r="AQ139" s="645"/>
      <c r="AR139" s="645"/>
      <c r="AS139" s="645"/>
      <c r="AT139" s="645"/>
      <c r="AU139" s="645"/>
      <c r="AV139" s="645"/>
      <c r="AW139" s="645"/>
      <c r="AX139" s="645"/>
      <c r="AY139" s="645"/>
      <c r="AZ139" s="645"/>
      <c r="BA139" s="645"/>
      <c r="BB139" s="645"/>
      <c r="BC139" s="645"/>
      <c r="BD139" s="645"/>
      <c r="BE139" s="645"/>
      <c r="BF139" s="645"/>
      <c r="BG139" s="645"/>
      <c r="BH139" s="645"/>
      <c r="BI139" s="645"/>
      <c r="BJ139" s="645"/>
      <c r="BK139" s="645"/>
      <c r="BL139" s="645"/>
      <c r="BM139" s="645"/>
      <c r="BN139" s="645"/>
      <c r="BO139" s="645"/>
      <c r="BP139" s="645"/>
      <c r="BQ139" s="645"/>
      <c r="BR139" s="645"/>
      <c r="BS139" s="645"/>
      <c r="BT139" s="645"/>
      <c r="BU139" s="645"/>
      <c r="BV139" s="645"/>
      <c r="BW139" s="645"/>
      <c r="BX139" s="645"/>
      <c r="BY139" s="645"/>
      <c r="BZ139" s="645"/>
      <c r="CA139" s="645"/>
      <c r="CB139" s="645"/>
      <c r="CC139" s="645"/>
      <c r="CD139" s="645"/>
      <c r="CE139" s="645"/>
      <c r="CF139" s="645"/>
    </row>
    <row r="140" spans="1:84" s="663" customFormat="1" ht="15.75" customHeight="1">
      <c r="A140" s="635">
        <v>134</v>
      </c>
      <c r="B140" s="642"/>
      <c r="C140" s="474" t="s">
        <v>2295</v>
      </c>
      <c r="D140" s="474" t="s">
        <v>2201</v>
      </c>
      <c r="E140" s="633"/>
      <c r="F140" s="580"/>
      <c r="G140" s="660"/>
      <c r="H140" s="660"/>
      <c r="I140" s="660"/>
      <c r="J140" s="664" t="s">
        <v>2255</v>
      </c>
      <c r="K140" s="648">
        <v>1</v>
      </c>
      <c r="L140" s="898"/>
      <c r="M140" s="636"/>
      <c r="N140" s="636"/>
      <c r="O140" s="636"/>
      <c r="P140" s="636"/>
      <c r="Q140" s="898"/>
      <c r="R140" s="898"/>
      <c r="S140" s="636">
        <f t="shared" si="10"/>
        <v>3700</v>
      </c>
      <c r="T140" s="637"/>
      <c r="U140" s="636">
        <f t="shared" si="11"/>
        <v>3700</v>
      </c>
      <c r="V140" s="636" t="str">
        <f t="shared" si="12"/>
        <v/>
      </c>
      <c r="W140" s="522">
        <v>3700</v>
      </c>
      <c r="X140" s="633"/>
      <c r="Y140" s="645"/>
      <c r="Z140" s="645"/>
      <c r="AA140" s="645"/>
      <c r="AB140" s="645"/>
      <c r="AC140" s="645"/>
      <c r="AD140" s="645"/>
      <c r="AE140" s="645"/>
      <c r="AF140" s="645"/>
      <c r="AG140" s="645"/>
      <c r="AH140" s="645"/>
      <c r="AI140" s="645"/>
      <c r="AJ140" s="645"/>
      <c r="AK140" s="645"/>
      <c r="AL140" s="645"/>
      <c r="AM140" s="645"/>
      <c r="AN140" s="645"/>
      <c r="AO140" s="645"/>
      <c r="AP140" s="645"/>
      <c r="AQ140" s="645"/>
      <c r="AR140" s="645"/>
      <c r="AS140" s="645"/>
      <c r="AT140" s="645"/>
      <c r="AU140" s="645"/>
      <c r="AV140" s="645"/>
      <c r="AW140" s="645"/>
      <c r="AX140" s="645"/>
      <c r="AY140" s="645"/>
      <c r="AZ140" s="645"/>
      <c r="BA140" s="645"/>
      <c r="BB140" s="645"/>
      <c r="BC140" s="645"/>
      <c r="BD140" s="645"/>
      <c r="BE140" s="645"/>
      <c r="BF140" s="645"/>
      <c r="BG140" s="645"/>
      <c r="BH140" s="645"/>
      <c r="BI140" s="645"/>
      <c r="BJ140" s="645"/>
      <c r="BK140" s="645"/>
      <c r="BL140" s="645"/>
      <c r="BM140" s="645"/>
      <c r="BN140" s="645"/>
      <c r="BO140" s="645"/>
      <c r="BP140" s="645"/>
      <c r="BQ140" s="645"/>
      <c r="BR140" s="645"/>
      <c r="BS140" s="645"/>
      <c r="BT140" s="645"/>
      <c r="BU140" s="645"/>
      <c r="BV140" s="645"/>
      <c r="BW140" s="645"/>
      <c r="BX140" s="645"/>
      <c r="BY140" s="645"/>
      <c r="BZ140" s="645"/>
      <c r="CA140" s="645"/>
      <c r="CB140" s="645"/>
      <c r="CC140" s="645"/>
      <c r="CD140" s="645"/>
      <c r="CE140" s="645"/>
      <c r="CF140" s="645"/>
    </row>
    <row r="141" spans="1:84" s="663" customFormat="1" ht="15.75" customHeight="1">
      <c r="A141" s="635">
        <v>135</v>
      </c>
      <c r="B141" s="642"/>
      <c r="C141" s="474" t="s">
        <v>2296</v>
      </c>
      <c r="D141" s="474" t="s">
        <v>2201</v>
      </c>
      <c r="E141" s="633"/>
      <c r="F141" s="580"/>
      <c r="G141" s="660"/>
      <c r="H141" s="660"/>
      <c r="I141" s="660"/>
      <c r="J141" s="664" t="s">
        <v>2255</v>
      </c>
      <c r="K141" s="648">
        <v>1</v>
      </c>
      <c r="L141" s="898"/>
      <c r="M141" s="636"/>
      <c r="N141" s="636"/>
      <c r="O141" s="636"/>
      <c r="P141" s="636"/>
      <c r="Q141" s="898"/>
      <c r="R141" s="898"/>
      <c r="S141" s="636">
        <f t="shared" si="10"/>
        <v>3700</v>
      </c>
      <c r="T141" s="637"/>
      <c r="U141" s="636">
        <f t="shared" si="11"/>
        <v>3700</v>
      </c>
      <c r="V141" s="636" t="str">
        <f t="shared" si="12"/>
        <v/>
      </c>
      <c r="W141" s="522">
        <v>3700</v>
      </c>
      <c r="X141" s="633"/>
      <c r="Y141" s="645"/>
      <c r="Z141" s="645"/>
      <c r="AA141" s="645"/>
      <c r="AB141" s="645"/>
      <c r="AC141" s="645"/>
      <c r="AD141" s="645"/>
      <c r="AE141" s="645"/>
      <c r="AF141" s="645"/>
      <c r="AG141" s="645"/>
      <c r="AH141" s="645"/>
      <c r="AI141" s="645"/>
      <c r="AJ141" s="645"/>
      <c r="AK141" s="645"/>
      <c r="AL141" s="645"/>
      <c r="AM141" s="645"/>
      <c r="AN141" s="645"/>
      <c r="AO141" s="645"/>
      <c r="AP141" s="645"/>
      <c r="AQ141" s="645"/>
      <c r="AR141" s="645"/>
      <c r="AS141" s="645"/>
      <c r="AT141" s="645"/>
      <c r="AU141" s="645"/>
      <c r="AV141" s="645"/>
      <c r="AW141" s="645"/>
      <c r="AX141" s="645"/>
      <c r="AY141" s="645"/>
      <c r="AZ141" s="645"/>
      <c r="BA141" s="645"/>
      <c r="BB141" s="645"/>
      <c r="BC141" s="645"/>
      <c r="BD141" s="645"/>
      <c r="BE141" s="645"/>
      <c r="BF141" s="645"/>
      <c r="BG141" s="645"/>
      <c r="BH141" s="645"/>
      <c r="BI141" s="645"/>
      <c r="BJ141" s="645"/>
      <c r="BK141" s="645"/>
      <c r="BL141" s="645"/>
      <c r="BM141" s="645"/>
      <c r="BN141" s="645"/>
      <c r="BO141" s="645"/>
      <c r="BP141" s="645"/>
      <c r="BQ141" s="645"/>
      <c r="BR141" s="645"/>
      <c r="BS141" s="645"/>
      <c r="BT141" s="645"/>
      <c r="BU141" s="645"/>
      <c r="BV141" s="645"/>
      <c r="BW141" s="645"/>
      <c r="BX141" s="645"/>
      <c r="BY141" s="645"/>
      <c r="BZ141" s="645"/>
      <c r="CA141" s="645"/>
      <c r="CB141" s="645"/>
      <c r="CC141" s="645"/>
      <c r="CD141" s="645"/>
      <c r="CE141" s="645"/>
      <c r="CF141" s="645"/>
    </row>
    <row r="142" spans="1:84" s="663" customFormat="1" ht="15.75" customHeight="1">
      <c r="A142" s="635">
        <v>136</v>
      </c>
      <c r="B142" s="642"/>
      <c r="C142" s="474" t="s">
        <v>2297</v>
      </c>
      <c r="D142" s="474" t="s">
        <v>2298</v>
      </c>
      <c r="E142" s="633"/>
      <c r="F142" s="580"/>
      <c r="G142" s="660"/>
      <c r="H142" s="660"/>
      <c r="I142" s="660"/>
      <c r="J142" s="664" t="s">
        <v>2255</v>
      </c>
      <c r="K142" s="648">
        <v>10</v>
      </c>
      <c r="L142" s="898"/>
      <c r="M142" s="636"/>
      <c r="N142" s="636"/>
      <c r="O142" s="636"/>
      <c r="P142" s="636"/>
      <c r="Q142" s="898"/>
      <c r="R142" s="898"/>
      <c r="S142" s="636">
        <f t="shared" si="10"/>
        <v>3000</v>
      </c>
      <c r="T142" s="637"/>
      <c r="U142" s="636">
        <f t="shared" si="11"/>
        <v>3000</v>
      </c>
      <c r="V142" s="636" t="str">
        <f t="shared" si="12"/>
        <v/>
      </c>
      <c r="W142" s="522">
        <v>300</v>
      </c>
      <c r="X142" s="633"/>
      <c r="Y142" s="645"/>
      <c r="Z142" s="645"/>
      <c r="AA142" s="645"/>
      <c r="AB142" s="645"/>
      <c r="AC142" s="645"/>
      <c r="AD142" s="645"/>
      <c r="AE142" s="645"/>
      <c r="AF142" s="645"/>
      <c r="AG142" s="645"/>
      <c r="AH142" s="645"/>
      <c r="AI142" s="645"/>
      <c r="AJ142" s="645"/>
      <c r="AK142" s="645"/>
      <c r="AL142" s="645"/>
      <c r="AM142" s="645"/>
      <c r="AN142" s="645"/>
      <c r="AO142" s="645"/>
      <c r="AP142" s="645"/>
      <c r="AQ142" s="645"/>
      <c r="AR142" s="645"/>
      <c r="AS142" s="645"/>
      <c r="AT142" s="645"/>
      <c r="AU142" s="645"/>
      <c r="AV142" s="645"/>
      <c r="AW142" s="645"/>
      <c r="AX142" s="645"/>
      <c r="AY142" s="645"/>
      <c r="AZ142" s="645"/>
      <c r="BA142" s="645"/>
      <c r="BB142" s="645"/>
      <c r="BC142" s="645"/>
      <c r="BD142" s="645"/>
      <c r="BE142" s="645"/>
      <c r="BF142" s="645"/>
      <c r="BG142" s="645"/>
      <c r="BH142" s="645"/>
      <c r="BI142" s="645"/>
      <c r="BJ142" s="645"/>
      <c r="BK142" s="645"/>
      <c r="BL142" s="645"/>
      <c r="BM142" s="645"/>
      <c r="BN142" s="645"/>
      <c r="BO142" s="645"/>
      <c r="BP142" s="645"/>
      <c r="BQ142" s="645"/>
      <c r="BR142" s="645"/>
      <c r="BS142" s="645"/>
      <c r="BT142" s="645"/>
      <c r="BU142" s="645"/>
      <c r="BV142" s="645"/>
      <c r="BW142" s="645"/>
      <c r="BX142" s="645"/>
      <c r="BY142" s="645"/>
      <c r="BZ142" s="645"/>
      <c r="CA142" s="645"/>
      <c r="CB142" s="645"/>
      <c r="CC142" s="645"/>
      <c r="CD142" s="645"/>
      <c r="CE142" s="645"/>
      <c r="CF142" s="645"/>
    </row>
    <row r="143" spans="1:84" s="663" customFormat="1" ht="15.75" customHeight="1">
      <c r="A143" s="635">
        <v>137</v>
      </c>
      <c r="B143" s="642"/>
      <c r="C143" s="474" t="s">
        <v>2299</v>
      </c>
      <c r="D143" s="474" t="s">
        <v>2273</v>
      </c>
      <c r="E143" s="633"/>
      <c r="F143" s="580"/>
      <c r="G143" s="660"/>
      <c r="H143" s="660"/>
      <c r="I143" s="660"/>
      <c r="J143" s="664" t="s">
        <v>2255</v>
      </c>
      <c r="K143" s="648">
        <v>2</v>
      </c>
      <c r="L143" s="898"/>
      <c r="M143" s="636"/>
      <c r="N143" s="636"/>
      <c r="O143" s="636"/>
      <c r="P143" s="636"/>
      <c r="Q143" s="898"/>
      <c r="R143" s="898"/>
      <c r="S143" s="636">
        <f t="shared" si="10"/>
        <v>2100</v>
      </c>
      <c r="T143" s="637"/>
      <c r="U143" s="636">
        <f t="shared" si="11"/>
        <v>2100</v>
      </c>
      <c r="V143" s="636" t="str">
        <f t="shared" si="12"/>
        <v/>
      </c>
      <c r="W143" s="522">
        <v>1050</v>
      </c>
      <c r="X143" s="633"/>
      <c r="Y143" s="645"/>
      <c r="Z143" s="645"/>
      <c r="AA143" s="645"/>
      <c r="AB143" s="645"/>
      <c r="AC143" s="645"/>
      <c r="AD143" s="645"/>
      <c r="AE143" s="645"/>
      <c r="AF143" s="645"/>
      <c r="AG143" s="645"/>
      <c r="AH143" s="645"/>
      <c r="AI143" s="645"/>
      <c r="AJ143" s="645"/>
      <c r="AK143" s="645"/>
      <c r="AL143" s="645"/>
      <c r="AM143" s="645"/>
      <c r="AN143" s="645"/>
      <c r="AO143" s="645"/>
      <c r="AP143" s="645"/>
      <c r="AQ143" s="645"/>
      <c r="AR143" s="645"/>
      <c r="AS143" s="645"/>
      <c r="AT143" s="645"/>
      <c r="AU143" s="645"/>
      <c r="AV143" s="645"/>
      <c r="AW143" s="645"/>
      <c r="AX143" s="645"/>
      <c r="AY143" s="645"/>
      <c r="AZ143" s="645"/>
      <c r="BA143" s="645"/>
      <c r="BB143" s="645"/>
      <c r="BC143" s="645"/>
      <c r="BD143" s="645"/>
      <c r="BE143" s="645"/>
      <c r="BF143" s="645"/>
      <c r="BG143" s="645"/>
      <c r="BH143" s="645"/>
      <c r="BI143" s="645"/>
      <c r="BJ143" s="645"/>
      <c r="BK143" s="645"/>
      <c r="BL143" s="645"/>
      <c r="BM143" s="645"/>
      <c r="BN143" s="645"/>
      <c r="BO143" s="645"/>
      <c r="BP143" s="645"/>
      <c r="BQ143" s="645"/>
      <c r="BR143" s="645"/>
      <c r="BS143" s="645"/>
      <c r="BT143" s="645"/>
      <c r="BU143" s="645"/>
      <c r="BV143" s="645"/>
      <c r="BW143" s="645"/>
      <c r="BX143" s="645"/>
      <c r="BY143" s="645"/>
      <c r="BZ143" s="645"/>
      <c r="CA143" s="645"/>
      <c r="CB143" s="645"/>
      <c r="CC143" s="645"/>
      <c r="CD143" s="645"/>
      <c r="CE143" s="645"/>
      <c r="CF143" s="645"/>
    </row>
    <row r="144" spans="1:84" s="663" customFormat="1" ht="15.75" customHeight="1">
      <c r="A144" s="635">
        <v>138</v>
      </c>
      <c r="B144" s="642"/>
      <c r="C144" s="474" t="s">
        <v>2300</v>
      </c>
      <c r="D144" s="474" t="s">
        <v>2301</v>
      </c>
      <c r="E144" s="633"/>
      <c r="F144" s="580"/>
      <c r="G144" s="660"/>
      <c r="H144" s="660"/>
      <c r="I144" s="660"/>
      <c r="J144" s="664" t="s">
        <v>2255</v>
      </c>
      <c r="K144" s="648">
        <v>36</v>
      </c>
      <c r="L144" s="899"/>
      <c r="M144" s="636"/>
      <c r="N144" s="636"/>
      <c r="O144" s="636"/>
      <c r="P144" s="636"/>
      <c r="Q144" s="899"/>
      <c r="R144" s="899"/>
      <c r="S144" s="636">
        <f t="shared" si="10"/>
        <v>28800</v>
      </c>
      <c r="T144" s="637"/>
      <c r="U144" s="636">
        <f t="shared" si="11"/>
        <v>28800</v>
      </c>
      <c r="V144" s="636" t="str">
        <f t="shared" si="12"/>
        <v/>
      </c>
      <c r="W144" s="522">
        <v>800</v>
      </c>
      <c r="X144" s="633"/>
      <c r="Y144" s="645"/>
      <c r="Z144" s="645"/>
      <c r="AA144" s="645"/>
      <c r="AB144" s="645"/>
      <c r="AC144" s="645"/>
      <c r="AD144" s="645"/>
      <c r="AE144" s="645"/>
      <c r="AF144" s="645"/>
      <c r="AG144" s="645"/>
      <c r="AH144" s="645"/>
      <c r="AI144" s="645"/>
      <c r="AJ144" s="645"/>
      <c r="AK144" s="645"/>
      <c r="AL144" s="645"/>
      <c r="AM144" s="645"/>
      <c r="AN144" s="645"/>
      <c r="AO144" s="645"/>
      <c r="AP144" s="645"/>
      <c r="AQ144" s="645"/>
      <c r="AR144" s="645"/>
      <c r="AS144" s="645"/>
      <c r="AT144" s="645"/>
      <c r="AU144" s="645"/>
      <c r="AV144" s="645"/>
      <c r="AW144" s="645"/>
      <c r="AX144" s="645"/>
      <c r="AY144" s="645"/>
      <c r="AZ144" s="645"/>
      <c r="BA144" s="645"/>
      <c r="BB144" s="645"/>
      <c r="BC144" s="645"/>
      <c r="BD144" s="645"/>
      <c r="BE144" s="645"/>
      <c r="BF144" s="645"/>
      <c r="BG144" s="645"/>
      <c r="BH144" s="645"/>
      <c r="BI144" s="645"/>
      <c r="BJ144" s="645"/>
      <c r="BK144" s="645"/>
      <c r="BL144" s="645"/>
      <c r="BM144" s="645"/>
      <c r="BN144" s="645"/>
      <c r="BO144" s="645"/>
      <c r="BP144" s="645"/>
      <c r="BQ144" s="645"/>
      <c r="BR144" s="645"/>
      <c r="BS144" s="645"/>
      <c r="BT144" s="645"/>
      <c r="BU144" s="645"/>
      <c r="BV144" s="645"/>
      <c r="BW144" s="645"/>
      <c r="BX144" s="645"/>
      <c r="BY144" s="645"/>
      <c r="BZ144" s="645"/>
      <c r="CA144" s="645"/>
      <c r="CB144" s="645"/>
      <c r="CC144" s="645"/>
      <c r="CD144" s="645"/>
      <c r="CE144" s="645"/>
      <c r="CF144" s="645"/>
    </row>
    <row r="145" spans="1:24" s="638" customFormat="1" ht="15.75" customHeight="1">
      <c r="A145" s="635"/>
      <c r="B145" s="642"/>
      <c r="C145" s="474"/>
      <c r="D145" s="611"/>
      <c r="E145" s="477"/>
      <c r="F145" s="580"/>
      <c r="G145" s="639"/>
      <c r="H145" s="482"/>
      <c r="I145" s="482"/>
      <c r="J145" s="639"/>
      <c r="K145" s="641"/>
      <c r="L145" s="594"/>
      <c r="M145" s="582"/>
      <c r="N145" s="636"/>
      <c r="O145" s="636"/>
      <c r="P145" s="636"/>
      <c r="Q145" s="636"/>
      <c r="R145" s="636"/>
      <c r="S145" s="636"/>
      <c r="T145" s="637"/>
      <c r="U145" s="636"/>
      <c r="V145" s="636"/>
      <c r="W145" s="636"/>
      <c r="X145" s="633"/>
    </row>
    <row r="146" spans="1:24" s="638" customFormat="1" ht="15.75" customHeight="1">
      <c r="A146" s="627"/>
      <c r="B146" s="627"/>
      <c r="C146" s="474"/>
      <c r="D146" s="627"/>
      <c r="E146" s="475"/>
      <c r="F146" s="588"/>
      <c r="G146" s="588"/>
      <c r="H146" s="627"/>
      <c r="I146" s="627"/>
      <c r="J146" s="627"/>
      <c r="K146" s="595"/>
      <c r="L146" s="582"/>
      <c r="M146" s="582"/>
      <c r="N146" s="582"/>
      <c r="O146" s="582"/>
      <c r="P146" s="582"/>
      <c r="Q146" s="582"/>
      <c r="R146" s="582"/>
      <c r="S146" s="582"/>
      <c r="T146" s="584"/>
      <c r="U146" s="582"/>
      <c r="V146" s="582"/>
      <c r="W146" s="582"/>
      <c r="X146" s="474"/>
    </row>
    <row r="147" spans="1:24" s="638" customFormat="1" ht="15.75" customHeight="1">
      <c r="A147" s="883" t="s">
        <v>2104</v>
      </c>
      <c r="B147" s="884"/>
      <c r="C147" s="884"/>
      <c r="D147" s="885"/>
      <c r="E147" s="475"/>
      <c r="F147" s="588"/>
      <c r="G147" s="588"/>
      <c r="H147" s="627"/>
      <c r="I147" s="627"/>
      <c r="J147" s="627"/>
      <c r="K147" s="595"/>
      <c r="L147" s="582">
        <f>SUM(L7:L146)</f>
        <v>6287859.6200000001</v>
      </c>
      <c r="M147" s="582">
        <f>SUM(M7:M146)</f>
        <v>81078.009999999995</v>
      </c>
      <c r="N147" s="582"/>
      <c r="O147" s="582"/>
      <c r="P147" s="582"/>
      <c r="Q147" s="582"/>
      <c r="R147" s="582"/>
      <c r="S147" s="582"/>
      <c r="T147" s="584"/>
      <c r="U147" s="582"/>
      <c r="V147" s="582" t="str">
        <f>IF(R147=0,"",(U147-R147)/R147*100)</f>
        <v/>
      </c>
      <c r="W147" s="582"/>
      <c r="X147" s="474"/>
    </row>
    <row r="148" spans="1:24" ht="15.75" customHeight="1">
      <c r="A148" s="101" t="e">
        <f>#REF!&amp;#REF!</f>
        <v>#REF!</v>
      </c>
      <c r="B148" s="101"/>
      <c r="Q148" s="101" t="e">
        <f>"评估人员："&amp;#REF!</f>
        <v>#REF!</v>
      </c>
    </row>
    <row r="149" spans="1:24" ht="15.75" customHeight="1">
      <c r="A149" s="101" t="e">
        <f>CONCATENATE(#REF!,#REF!,#REF!,#REF!,#REF!,#REF!,#REF!)</f>
        <v>#REF!</v>
      </c>
      <c r="B149" s="101"/>
    </row>
    <row r="150" spans="1:24" ht="15.75" customHeight="1">
      <c r="Q150" s="469"/>
      <c r="R150" s="469"/>
      <c r="S150" s="469"/>
      <c r="T150" s="469"/>
      <c r="U150" s="469"/>
    </row>
  </sheetData>
  <autoFilter ref="A6:X6"/>
  <mergeCells count="24">
    <mergeCell ref="A2:X2"/>
    <mergeCell ref="C5:C6"/>
    <mergeCell ref="D5:D6"/>
    <mergeCell ref="V5:V6"/>
    <mergeCell ref="W5:W6"/>
    <mergeCell ref="A3:X3"/>
    <mergeCell ref="B5:B6"/>
    <mergeCell ref="H5:H6"/>
    <mergeCell ref="I5:I6"/>
    <mergeCell ref="A147:D147"/>
    <mergeCell ref="X5:X6"/>
    <mergeCell ref="A5:A6"/>
    <mergeCell ref="G5:G6"/>
    <mergeCell ref="F5:F6"/>
    <mergeCell ref="K5:K6"/>
    <mergeCell ref="E5:E6"/>
    <mergeCell ref="J5:J6"/>
    <mergeCell ref="O5:P5"/>
    <mergeCell ref="Q5:R5"/>
    <mergeCell ref="L5:N5"/>
    <mergeCell ref="L33:L144"/>
    <mergeCell ref="Q33:Q144"/>
    <mergeCell ref="R33:R144"/>
    <mergeCell ref="S5:U5"/>
  </mergeCells>
  <phoneticPr fontId="6" type="noConversion"/>
  <hyperlinks>
    <hyperlink ref="A1" location="索引目录!E36" display="构筑物及其他辅助设施"/>
    <hyperlink ref="C1" location="固定资产汇总!B9" display="固定资产-构筑物及其他辅助设施"/>
  </hyperlinks>
  <printOptions horizontalCentered="1"/>
  <pageMargins left="0.35433070866141736" right="0.35433070866141736" top="0.78740157480314965" bottom="0.78740157480314965" header="0.98" footer="0.51181102362204722"/>
  <pageSetup paperSize="9" scale="66" fitToHeight="0" orientation="landscape" horizontalDpi="4294967292" r:id="rId1"/>
  <headerFooter alignWithMargins="0">
    <oddHeader>&amp;R&amp;"宋体,常规"&amp;10表&amp;"Times New Roman,常规"4-6-2
&amp;"宋体,常规"共&amp;"Times New Roman,常规"&amp;N&amp;"宋体,常规"页第&amp;"Times New Roman,常规"&amp;P&amp;"宋体,常规"页</oddHeader>
  </headerFooter>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pageSetUpPr fitToPage="1"/>
  </sheetPr>
  <dimension ref="A1:AM19"/>
  <sheetViews>
    <sheetView workbookViewId="0">
      <pane xSplit="4" ySplit="6" topLeftCell="E7" activePane="bottomRight" state="frozen"/>
      <selection activeCell="B11" sqref="B11"/>
      <selection pane="topRight" activeCell="B11" sqref="B11"/>
      <selection pane="bottomLeft" activeCell="B11" sqref="B11"/>
      <selection pane="bottomRight" activeCell="B11" sqref="B11"/>
    </sheetView>
  </sheetViews>
  <sheetFormatPr defaultRowHeight="15.75" customHeight="1" outlineLevelCol="1"/>
  <cols>
    <col min="1" max="2" width="4.5" style="4" customWidth="1"/>
    <col min="3" max="3" width="14.5" style="4" customWidth="1"/>
    <col min="4" max="4" width="8.75" style="4" customWidth="1" outlineLevel="1"/>
    <col min="5" max="6" width="4.75" style="4" customWidth="1"/>
    <col min="7" max="7" width="16.375" style="4" customWidth="1"/>
    <col min="8" max="8" width="4.375" style="4" customWidth="1"/>
    <col min="9" max="9" width="4.875" style="4" customWidth="1"/>
    <col min="10" max="10" width="7.875" style="4" customWidth="1"/>
    <col min="11" max="12" width="9.625" style="4" customWidth="1" outlineLevel="1"/>
    <col min="13" max="13" width="6.75" style="4" customWidth="1" outlineLevel="1"/>
    <col min="14" max="15" width="5" style="4" customWidth="1" outlineLevel="1"/>
    <col min="16" max="17" width="11" style="4" customWidth="1"/>
    <col min="18" max="18" width="11" style="4" customWidth="1" outlineLevel="1"/>
    <col min="19" max="19" width="6.625" style="4" customWidth="1" outlineLevel="1"/>
    <col min="20" max="20" width="11" style="4" customWidth="1" outlineLevel="1"/>
    <col min="21" max="21" width="6.125" style="4" customWidth="1" outlineLevel="1"/>
    <col min="22" max="22" width="5.75" style="4" customWidth="1"/>
    <col min="23" max="23" width="5.875" style="4" customWidth="1"/>
    <col min="24" max="24" width="4.875" style="4" customWidth="1"/>
    <col min="25" max="25" width="5.75" style="4" customWidth="1"/>
    <col min="26" max="27" width="9" style="4"/>
    <col min="28" max="28" width="6.5" style="4" customWidth="1"/>
    <col min="29" max="29" width="7.75" style="4" customWidth="1"/>
    <col min="30" max="30" width="6.375" style="4" customWidth="1"/>
    <col min="31" max="31" width="4.625" style="4" customWidth="1"/>
    <col min="32" max="32" width="9" style="4"/>
    <col min="33" max="34" width="7.125" style="4" customWidth="1"/>
    <col min="35" max="35" width="6.125" style="4" customWidth="1"/>
    <col min="36" max="36" width="8.375" style="4" customWidth="1"/>
    <col min="37" max="37" width="6.375" style="4" customWidth="1"/>
    <col min="38" max="16384" width="9" style="4"/>
  </cols>
  <sheetData>
    <row r="1" spans="1:39" ht="14.25">
      <c r="A1" s="272" t="s">
        <v>130</v>
      </c>
      <c r="B1" s="272"/>
      <c r="C1" s="196" t="s">
        <v>131</v>
      </c>
      <c r="D1" s="1"/>
      <c r="E1" s="1"/>
      <c r="F1" s="1"/>
      <c r="G1" s="1"/>
      <c r="H1" s="1"/>
      <c r="I1" s="1"/>
      <c r="J1" s="1"/>
      <c r="K1" s="1"/>
      <c r="L1" s="1"/>
      <c r="M1" s="1"/>
      <c r="N1" s="1"/>
      <c r="O1" s="1"/>
      <c r="P1" s="1"/>
      <c r="Q1" s="1"/>
      <c r="R1" s="1"/>
      <c r="S1" s="1"/>
      <c r="T1" s="1"/>
      <c r="U1" s="1"/>
      <c r="V1" s="1"/>
    </row>
    <row r="2" spans="1:39" s="114" customFormat="1" ht="30" customHeight="1">
      <c r="A2" s="790" t="s">
        <v>882</v>
      </c>
      <c r="B2" s="790"/>
      <c r="C2" s="791"/>
      <c r="D2" s="791"/>
      <c r="E2" s="791"/>
      <c r="F2" s="791"/>
      <c r="G2" s="791"/>
      <c r="H2" s="791"/>
      <c r="I2" s="791"/>
      <c r="J2" s="791"/>
      <c r="K2" s="791"/>
      <c r="L2" s="791"/>
      <c r="M2" s="791"/>
      <c r="N2" s="791"/>
      <c r="O2" s="791"/>
      <c r="P2" s="791"/>
      <c r="Q2" s="791"/>
      <c r="R2" s="791"/>
      <c r="S2" s="791"/>
      <c r="T2" s="791"/>
      <c r="U2" s="791"/>
      <c r="V2" s="791"/>
    </row>
    <row r="3" spans="1:39" ht="14.1" customHeight="1">
      <c r="A3" s="792" t="e">
        <f>CONCATENATE(#REF!,#REF!,#REF!,#REF!,#REF!,#REF!,#REF!)</f>
        <v>#REF!</v>
      </c>
      <c r="B3" s="792"/>
      <c r="C3" s="792"/>
      <c r="D3" s="792"/>
      <c r="E3" s="792"/>
      <c r="F3" s="792"/>
      <c r="G3" s="792"/>
      <c r="H3" s="792"/>
      <c r="I3" s="792"/>
      <c r="J3" s="808"/>
      <c r="K3" s="808"/>
      <c r="L3" s="808"/>
      <c r="M3" s="808"/>
      <c r="N3" s="808"/>
      <c r="O3" s="808"/>
      <c r="P3" s="808"/>
      <c r="Q3" s="808"/>
      <c r="R3" s="808"/>
      <c r="S3" s="808"/>
      <c r="T3" s="808"/>
      <c r="U3" s="808"/>
      <c r="V3" s="808"/>
      <c r="AG3" s="116">
        <f>机器设备!AI4</f>
        <v>0</v>
      </c>
    </row>
    <row r="4" spans="1:39" ht="15.75" customHeight="1">
      <c r="A4" s="115" t="e">
        <f>#REF!&amp;#REF!</f>
        <v>#REF!</v>
      </c>
      <c r="B4" s="115"/>
      <c r="H4" s="130"/>
      <c r="I4" s="130"/>
      <c r="J4" s="130"/>
      <c r="V4" s="106" t="s">
        <v>3</v>
      </c>
      <c r="AG4" s="470">
        <f>机器设备!AI3</f>
        <v>4.3499999999999997E-2</v>
      </c>
    </row>
    <row r="5" spans="1:39" s="1" customFormat="1" ht="15.75" customHeight="1">
      <c r="A5" s="815" t="s">
        <v>4</v>
      </c>
      <c r="B5" s="817" t="s">
        <v>938</v>
      </c>
      <c r="C5" s="816" t="s">
        <v>275</v>
      </c>
      <c r="D5" s="895" t="s">
        <v>88</v>
      </c>
      <c r="E5" s="837" t="s">
        <v>331</v>
      </c>
      <c r="F5" s="837" t="s">
        <v>332</v>
      </c>
      <c r="G5" s="837" t="s">
        <v>276</v>
      </c>
      <c r="H5" s="837" t="s">
        <v>277</v>
      </c>
      <c r="I5" s="837" t="s">
        <v>278</v>
      </c>
      <c r="J5" s="837" t="s">
        <v>279</v>
      </c>
      <c r="K5" s="913" t="s">
        <v>426</v>
      </c>
      <c r="L5" s="914"/>
      <c r="M5" s="915"/>
      <c r="N5" s="916" t="s">
        <v>710</v>
      </c>
      <c r="O5" s="917"/>
      <c r="P5" s="837" t="s">
        <v>315</v>
      </c>
      <c r="Q5" s="838"/>
      <c r="R5" s="837" t="s">
        <v>0</v>
      </c>
      <c r="S5" s="838"/>
      <c r="T5" s="838"/>
      <c r="U5" s="837" t="s">
        <v>20</v>
      </c>
      <c r="V5" s="837" t="s">
        <v>72</v>
      </c>
      <c r="W5" s="912" t="s">
        <v>929</v>
      </c>
      <c r="Y5" s="910" t="s">
        <v>87</v>
      </c>
      <c r="Z5" s="904" t="s">
        <v>925</v>
      </c>
      <c r="AA5" s="910" t="s">
        <v>926</v>
      </c>
      <c r="AB5" s="911" t="s">
        <v>927</v>
      </c>
      <c r="AC5" s="907" t="s">
        <v>928</v>
      </c>
      <c r="AD5" s="366"/>
      <c r="AE5" s="907" t="s">
        <v>917</v>
      </c>
      <c r="AF5" s="907" t="s">
        <v>918</v>
      </c>
      <c r="AG5" s="907" t="s">
        <v>253</v>
      </c>
      <c r="AH5" s="904" t="s">
        <v>919</v>
      </c>
      <c r="AI5" s="906" t="s">
        <v>920</v>
      </c>
      <c r="AJ5" s="902" t="s">
        <v>921</v>
      </c>
      <c r="AK5" s="902" t="s">
        <v>922</v>
      </c>
      <c r="AL5" s="902" t="s">
        <v>923</v>
      </c>
      <c r="AM5" s="355">
        <f>机器设备!AM4</f>
        <v>43069</v>
      </c>
    </row>
    <row r="6" spans="1:39" s="116" customFormat="1" ht="15.75" customHeight="1">
      <c r="A6" s="816"/>
      <c r="B6" s="827"/>
      <c r="C6" s="816"/>
      <c r="D6" s="896"/>
      <c r="E6" s="816"/>
      <c r="F6" s="816"/>
      <c r="G6" s="816"/>
      <c r="H6" s="816"/>
      <c r="I6" s="816"/>
      <c r="J6" s="816"/>
      <c r="K6" s="102" t="s">
        <v>270</v>
      </c>
      <c r="L6" s="102" t="s">
        <v>939</v>
      </c>
      <c r="M6" s="520" t="s">
        <v>933</v>
      </c>
      <c r="N6" s="102" t="s">
        <v>270</v>
      </c>
      <c r="O6" s="102" t="s">
        <v>271</v>
      </c>
      <c r="P6" s="102" t="s">
        <v>270</v>
      </c>
      <c r="Q6" s="102" t="s">
        <v>271</v>
      </c>
      <c r="R6" s="102" t="s">
        <v>270</v>
      </c>
      <c r="S6" s="473" t="s">
        <v>272</v>
      </c>
      <c r="T6" s="102" t="s">
        <v>271</v>
      </c>
      <c r="U6" s="816"/>
      <c r="V6" s="816"/>
      <c r="W6" s="912"/>
      <c r="Y6" s="910"/>
      <c r="Z6" s="904"/>
      <c r="AA6" s="910"/>
      <c r="AB6" s="911"/>
      <c r="AC6" s="908"/>
      <c r="AD6" s="367"/>
      <c r="AE6" s="908"/>
      <c r="AF6" s="907"/>
      <c r="AG6" s="907"/>
      <c r="AH6" s="905"/>
      <c r="AI6" s="906"/>
      <c r="AJ6" s="903"/>
      <c r="AK6" s="903"/>
      <c r="AL6" s="903"/>
      <c r="AM6" s="356" t="s">
        <v>924</v>
      </c>
    </row>
    <row r="7" spans="1:39" ht="15.75" customHeight="1">
      <c r="A7" s="105">
        <v>1</v>
      </c>
      <c r="B7" s="105"/>
      <c r="C7" s="128"/>
      <c r="D7" s="164"/>
      <c r="E7" s="105"/>
      <c r="F7" s="105"/>
      <c r="G7" s="105"/>
      <c r="H7" s="105"/>
      <c r="I7" s="105"/>
      <c r="J7" s="121"/>
      <c r="K7" s="142"/>
      <c r="L7" s="142"/>
      <c r="M7" s="142"/>
      <c r="N7" s="142"/>
      <c r="O7" s="142"/>
      <c r="P7" s="142">
        <f t="shared" ref="P7:Q11" si="0">K7+N7</f>
        <v>0</v>
      </c>
      <c r="Q7" s="142">
        <f t="shared" si="0"/>
        <v>0</v>
      </c>
      <c r="R7" s="142"/>
      <c r="S7" s="153"/>
      <c r="T7" s="142">
        <f>ROUND(R7*S7/100,0)</f>
        <v>0</v>
      </c>
      <c r="U7" s="142" t="str">
        <f>IF(Q7=0,"",(T7-Q7)/Q7*100)</f>
        <v/>
      </c>
      <c r="V7" s="120"/>
      <c r="W7" s="490"/>
      <c r="Y7" s="363">
        <f>C7</f>
        <v>0</v>
      </c>
      <c r="Z7" s="358"/>
      <c r="AA7" s="362"/>
      <c r="AB7" s="361">
        <f>AA7*Z7</f>
        <v>0</v>
      </c>
      <c r="AC7" s="365"/>
      <c r="AD7" s="364"/>
      <c r="AE7" s="358"/>
      <c r="AF7" s="357" t="b">
        <f>IF(AE7=0.5,4.86%,IF(AE7=1,5.31%,IF(AE7&gt;1,5.4%)))</f>
        <v>0</v>
      </c>
      <c r="AG7" s="507">
        <f>1+AG$3*AG$4/2</f>
        <v>1</v>
      </c>
      <c r="AH7" s="359">
        <f>ROUND((Z7*(1+AC7)+AD7)*AG7,0)</f>
        <v>0</v>
      </c>
      <c r="AI7" s="358"/>
      <c r="AJ7" s="360" t="e">
        <f>(1-AM7/AI7)*100</f>
        <v>#DIV/0!</v>
      </c>
      <c r="AK7" s="358"/>
      <c r="AL7" s="360" t="e">
        <f>0.6*AK7+0.4*AJ7</f>
        <v>#DIV/0!</v>
      </c>
      <c r="AM7" s="361">
        <f>($AP$5-L7)/365</f>
        <v>0</v>
      </c>
    </row>
    <row r="8" spans="1:39" ht="15.75" customHeight="1">
      <c r="A8" s="105">
        <v>2</v>
      </c>
      <c r="B8" s="105"/>
      <c r="C8" s="128"/>
      <c r="D8" s="164"/>
      <c r="E8" s="105"/>
      <c r="F8" s="105"/>
      <c r="G8" s="105"/>
      <c r="H8" s="105"/>
      <c r="I8" s="105"/>
      <c r="J8" s="121"/>
      <c r="K8" s="142"/>
      <c r="L8" s="142"/>
      <c r="M8" s="142"/>
      <c r="N8" s="142"/>
      <c r="O8" s="142"/>
      <c r="P8" s="142">
        <f t="shared" si="0"/>
        <v>0</v>
      </c>
      <c r="Q8" s="142">
        <f t="shared" si="0"/>
        <v>0</v>
      </c>
      <c r="R8" s="142"/>
      <c r="S8" s="153"/>
      <c r="T8" s="142">
        <f>ROUND(R8*S8/100,0)</f>
        <v>0</v>
      </c>
      <c r="U8" s="142" t="str">
        <f>IF(Q8=0,"",(T8-Q8)/Q8*100)</f>
        <v/>
      </c>
      <c r="V8" s="120"/>
      <c r="W8" s="490"/>
      <c r="Y8" s="363">
        <f>C8</f>
        <v>0</v>
      </c>
      <c r="Z8" s="361"/>
      <c r="AA8" s="362"/>
      <c r="AB8" s="361">
        <f>AA8*Z8</f>
        <v>0</v>
      </c>
      <c r="AC8" s="365"/>
      <c r="AD8" s="364"/>
      <c r="AE8" s="358"/>
      <c r="AF8" s="357" t="b">
        <f>IF(AE8=0.5,4.86%,IF(AE8=1,5.31%,IF(AE8&gt;1,5.4%)))</f>
        <v>0</v>
      </c>
      <c r="AG8" s="507">
        <f>1+AG$3*AG$4/2</f>
        <v>1</v>
      </c>
      <c r="AH8" s="359">
        <f>ROUND((Z8*(1+AC8)+AD8)*AG8,0)</f>
        <v>0</v>
      </c>
      <c r="AI8" s="358"/>
      <c r="AJ8" s="360" t="e">
        <f>(1-AM8/AI8)*100</f>
        <v>#DIV/0!</v>
      </c>
      <c r="AK8" s="358"/>
      <c r="AL8" s="360" t="e">
        <f>0.6*AK8+0.4*AJ8</f>
        <v>#DIV/0!</v>
      </c>
      <c r="AM8" s="361">
        <f>($AP$5-L8)/365</f>
        <v>0</v>
      </c>
    </row>
    <row r="9" spans="1:39" ht="15.75" customHeight="1">
      <c r="A9" s="105">
        <v>3</v>
      </c>
      <c r="B9" s="105"/>
      <c r="C9" s="128"/>
      <c r="D9" s="164"/>
      <c r="E9" s="105"/>
      <c r="F9" s="105"/>
      <c r="G9" s="105"/>
      <c r="H9" s="105"/>
      <c r="I9" s="105"/>
      <c r="J9" s="121"/>
      <c r="K9" s="142"/>
      <c r="L9" s="142"/>
      <c r="M9" s="142"/>
      <c r="N9" s="142"/>
      <c r="O9" s="142"/>
      <c r="P9" s="142">
        <f t="shared" si="0"/>
        <v>0</v>
      </c>
      <c r="Q9" s="142">
        <f t="shared" si="0"/>
        <v>0</v>
      </c>
      <c r="R9" s="142"/>
      <c r="S9" s="153"/>
      <c r="T9" s="142">
        <f>ROUND(R9*S9/100,0)</f>
        <v>0</v>
      </c>
      <c r="U9" s="142" t="str">
        <f>IF(Q9=0,"",(T9-Q9)/Q9*100)</f>
        <v/>
      </c>
      <c r="V9" s="120"/>
      <c r="W9" s="490"/>
      <c r="Y9" s="363">
        <f>C9</f>
        <v>0</v>
      </c>
      <c r="Z9" s="358"/>
      <c r="AA9" s="362"/>
      <c r="AB9" s="361">
        <f>AA9*Z9</f>
        <v>0</v>
      </c>
      <c r="AC9" s="365"/>
      <c r="AD9" s="364"/>
      <c r="AE9" s="358"/>
      <c r="AF9" s="357" t="b">
        <f>IF(AE9=0.5,4.86%,IF(AE9=1,5.31%,IF(AE9&gt;1,5.4%)))</f>
        <v>0</v>
      </c>
      <c r="AG9" s="507">
        <f>1+AG$3*AG$4/2</f>
        <v>1</v>
      </c>
      <c r="AH9" s="359">
        <f>ROUND((Z9*(1+AC9)+AD9)*AG9,0)</f>
        <v>0</v>
      </c>
      <c r="AI9" s="358"/>
      <c r="AJ9" s="360" t="e">
        <f>(1-AM9/AI9)*100</f>
        <v>#DIV/0!</v>
      </c>
      <c r="AK9" s="358"/>
      <c r="AL9" s="360" t="e">
        <f>0.6*AK9+0.4*AJ9</f>
        <v>#DIV/0!</v>
      </c>
      <c r="AM9" s="361">
        <f>($AP$5-L9)/365</f>
        <v>0</v>
      </c>
    </row>
    <row r="10" spans="1:39" ht="15.75" customHeight="1">
      <c r="A10" s="105">
        <v>4</v>
      </c>
      <c r="B10" s="105"/>
      <c r="C10" s="128"/>
      <c r="D10" s="164"/>
      <c r="E10" s="105"/>
      <c r="F10" s="105"/>
      <c r="G10" s="105"/>
      <c r="H10" s="105"/>
      <c r="I10" s="105"/>
      <c r="J10" s="121"/>
      <c r="K10" s="142"/>
      <c r="L10" s="142"/>
      <c r="M10" s="142"/>
      <c r="N10" s="142"/>
      <c r="O10" s="142"/>
      <c r="P10" s="142">
        <f t="shared" si="0"/>
        <v>0</v>
      </c>
      <c r="Q10" s="142">
        <f t="shared" si="0"/>
        <v>0</v>
      </c>
      <c r="R10" s="142"/>
      <c r="S10" s="153"/>
      <c r="T10" s="142">
        <f>ROUND(R10*S10/100,0)</f>
        <v>0</v>
      </c>
      <c r="U10" s="142" t="str">
        <f>IF(Q10=0,"",(T10-Q10)/Q10*100)</f>
        <v/>
      </c>
      <c r="V10" s="120"/>
      <c r="W10" s="490"/>
      <c r="Y10" s="363">
        <f>C10</f>
        <v>0</v>
      </c>
      <c r="Z10" s="358"/>
      <c r="AA10" s="362"/>
      <c r="AB10" s="361">
        <f>AA10*Z10</f>
        <v>0</v>
      </c>
      <c r="AC10" s="365"/>
      <c r="AD10" s="364"/>
      <c r="AE10" s="358"/>
      <c r="AF10" s="357" t="b">
        <f>IF(AE10=0.5,4.86%,IF(AE10=1,5.31%,IF(AE10&gt;1,5.4%)))</f>
        <v>0</v>
      </c>
      <c r="AG10" s="507">
        <f>1+AG$3*AG$4/2</f>
        <v>1</v>
      </c>
      <c r="AH10" s="359">
        <f>ROUND((Z10*(1+AC10)+AD10)*AG10,0)</f>
        <v>0</v>
      </c>
      <c r="AI10" s="358"/>
      <c r="AJ10" s="360" t="e">
        <f>(1-AM10/AI10)*100</f>
        <v>#DIV/0!</v>
      </c>
      <c r="AK10" s="368"/>
      <c r="AL10" s="360" t="e">
        <f>0.6*AK10+0.4*AJ10</f>
        <v>#DIV/0!</v>
      </c>
      <c r="AM10" s="361">
        <f>($AP$5-L10)/365</f>
        <v>0</v>
      </c>
    </row>
    <row r="11" spans="1:39" ht="15.75" customHeight="1">
      <c r="A11" s="105">
        <v>5</v>
      </c>
      <c r="B11" s="105"/>
      <c r="C11" s="128"/>
      <c r="D11" s="164"/>
      <c r="E11" s="105"/>
      <c r="F11" s="105"/>
      <c r="G11" s="105"/>
      <c r="H11" s="105"/>
      <c r="I11" s="105"/>
      <c r="J11" s="121"/>
      <c r="K11" s="142"/>
      <c r="L11" s="142"/>
      <c r="M11" s="142"/>
      <c r="N11" s="142"/>
      <c r="O11" s="142"/>
      <c r="P11" s="142">
        <f t="shared" si="0"/>
        <v>0</v>
      </c>
      <c r="Q11" s="142">
        <f t="shared" si="0"/>
        <v>0</v>
      </c>
      <c r="R11" s="142"/>
      <c r="S11" s="153"/>
      <c r="T11" s="142">
        <f>ROUND(R11*S11/100,0)</f>
        <v>0</v>
      </c>
      <c r="U11" s="142" t="str">
        <f>IF(Q11=0,"",(T11-Q11)/Q11*100)</f>
        <v/>
      </c>
      <c r="V11" s="120"/>
      <c r="W11" s="490"/>
      <c r="Y11" s="363">
        <f>C11</f>
        <v>0</v>
      </c>
      <c r="Z11" s="358"/>
      <c r="AA11" s="362"/>
      <c r="AB11" s="361">
        <f>AA11*Z11</f>
        <v>0</v>
      </c>
      <c r="AC11" s="365"/>
      <c r="AD11" s="364"/>
      <c r="AE11" s="358"/>
      <c r="AF11" s="357" t="b">
        <f>IF(AE11=0.5,4.86%,IF(AE11=1,5.31%,IF(AE11&gt;1,5.4%)))</f>
        <v>0</v>
      </c>
      <c r="AG11" s="507">
        <f>1+AG$3*AG$4/2</f>
        <v>1</v>
      </c>
      <c r="AH11" s="359">
        <f>ROUND((Z11*(1+AC11)+AD11)*AG11,0)</f>
        <v>0</v>
      </c>
      <c r="AI11" s="358"/>
      <c r="AJ11" s="360" t="e">
        <f>(1-AM11/AI11)*100</f>
        <v>#DIV/0!</v>
      </c>
      <c r="AK11" s="368"/>
      <c r="AL11" s="360" t="e">
        <f>0.6*AK11+0.4*AJ11</f>
        <v>#DIV/0!</v>
      </c>
      <c r="AM11" s="361">
        <f>($AP$5-L11)/365</f>
        <v>0</v>
      </c>
    </row>
    <row r="12" spans="1:39" ht="15.75" customHeight="1">
      <c r="A12" s="105"/>
      <c r="B12" s="105"/>
      <c r="C12" s="128"/>
      <c r="D12" s="164"/>
      <c r="E12" s="105"/>
      <c r="F12" s="105"/>
      <c r="G12" s="105"/>
      <c r="H12" s="105"/>
      <c r="I12" s="105"/>
      <c r="J12" s="121"/>
      <c r="K12" s="142"/>
      <c r="L12" s="142"/>
      <c r="M12" s="142"/>
      <c r="N12" s="142"/>
      <c r="O12" s="142"/>
      <c r="P12" s="142"/>
      <c r="Q12" s="142"/>
      <c r="R12" s="142"/>
      <c r="S12" s="153"/>
      <c r="T12" s="142"/>
      <c r="U12" s="142"/>
      <c r="V12" s="120"/>
      <c r="W12" s="490"/>
    </row>
    <row r="13" spans="1:39" ht="15.75" customHeight="1">
      <c r="A13" s="105"/>
      <c r="B13" s="105"/>
      <c r="C13" s="128"/>
      <c r="D13" s="164"/>
      <c r="E13" s="105"/>
      <c r="F13" s="105"/>
      <c r="G13" s="105"/>
      <c r="H13" s="105"/>
      <c r="I13" s="105"/>
      <c r="J13" s="121"/>
      <c r="K13" s="142"/>
      <c r="L13" s="142"/>
      <c r="M13" s="142"/>
      <c r="N13" s="142"/>
      <c r="O13" s="142"/>
      <c r="P13" s="142"/>
      <c r="Q13" s="142"/>
      <c r="R13" s="142"/>
      <c r="S13" s="153"/>
      <c r="T13" s="142"/>
      <c r="U13" s="142"/>
      <c r="V13" s="120"/>
      <c r="W13" s="490"/>
    </row>
    <row r="14" spans="1:39" ht="15.75" customHeight="1">
      <c r="A14" s="105"/>
      <c r="B14" s="105"/>
      <c r="C14" s="128"/>
      <c r="D14" s="164"/>
      <c r="E14" s="105"/>
      <c r="F14" s="105"/>
      <c r="G14" s="105"/>
      <c r="H14" s="105"/>
      <c r="I14" s="105"/>
      <c r="J14" s="121"/>
      <c r="K14" s="142"/>
      <c r="L14" s="142"/>
      <c r="M14" s="142"/>
      <c r="N14" s="142"/>
      <c r="O14" s="142"/>
      <c r="P14" s="142"/>
      <c r="Q14" s="142"/>
      <c r="R14" s="142"/>
      <c r="S14" s="153"/>
      <c r="T14" s="142"/>
      <c r="U14" s="142"/>
      <c r="V14" s="120"/>
      <c r="W14" s="490"/>
    </row>
    <row r="15" spans="1:39" ht="15.75" customHeight="1">
      <c r="A15" s="105"/>
      <c r="B15" s="105"/>
      <c r="C15" s="128"/>
      <c r="D15" s="164"/>
      <c r="E15" s="105"/>
      <c r="F15" s="105"/>
      <c r="G15" s="105"/>
      <c r="H15" s="105"/>
      <c r="I15" s="105"/>
      <c r="J15" s="121"/>
      <c r="K15" s="142"/>
      <c r="L15" s="142"/>
      <c r="M15" s="142"/>
      <c r="N15" s="142"/>
      <c r="O15" s="142"/>
      <c r="P15" s="142"/>
      <c r="Q15" s="142"/>
      <c r="R15" s="142"/>
      <c r="S15" s="153"/>
      <c r="T15" s="142"/>
      <c r="U15" s="142"/>
      <c r="V15" s="120"/>
      <c r="W15" s="490"/>
    </row>
    <row r="16" spans="1:39" ht="15.75" customHeight="1">
      <c r="A16" s="105"/>
      <c r="B16" s="105"/>
      <c r="C16" s="128"/>
      <c r="D16" s="164"/>
      <c r="E16" s="105"/>
      <c r="F16" s="105"/>
      <c r="G16" s="105"/>
      <c r="H16" s="105"/>
      <c r="I16" s="105"/>
      <c r="J16" s="121"/>
      <c r="K16" s="142"/>
      <c r="L16" s="142"/>
      <c r="M16" s="142"/>
      <c r="N16" s="142"/>
      <c r="O16" s="142"/>
      <c r="P16" s="142"/>
      <c r="Q16" s="142"/>
      <c r="R16" s="142"/>
      <c r="S16" s="153"/>
      <c r="T16" s="142"/>
      <c r="U16" s="142"/>
      <c r="V16" s="120"/>
      <c r="W16" s="490"/>
    </row>
    <row r="17" spans="1:23" ht="15.75" customHeight="1">
      <c r="A17" s="809" t="s">
        <v>54</v>
      </c>
      <c r="B17" s="909"/>
      <c r="C17" s="810"/>
      <c r="D17" s="15"/>
      <c r="E17" s="105"/>
      <c r="F17" s="105"/>
      <c r="G17" s="105"/>
      <c r="H17" s="105"/>
      <c r="I17" s="105"/>
      <c r="J17" s="121"/>
      <c r="K17" s="142">
        <f>SUM(K7:K16)</f>
        <v>0</v>
      </c>
      <c r="L17" s="142">
        <f>SUM(L7:L16)</f>
        <v>0</v>
      </c>
      <c r="M17" s="142"/>
      <c r="N17" s="142"/>
      <c r="O17" s="142"/>
      <c r="P17" s="142">
        <f>SUM(P7:P16)</f>
        <v>0</v>
      </c>
      <c r="Q17" s="142">
        <f>SUM(Q7:Q16)</f>
        <v>0</v>
      </c>
      <c r="R17" s="142">
        <f>SUM(R7:R16)</f>
        <v>0</v>
      </c>
      <c r="S17" s="153"/>
      <c r="T17" s="142">
        <f>SUM(T7:T16)</f>
        <v>0</v>
      </c>
      <c r="U17" s="142" t="str">
        <f>IF(Q17=0,"",(T17-Q17)/Q17*100)</f>
        <v/>
      </c>
      <c r="V17" s="120"/>
      <c r="W17" s="490"/>
    </row>
    <row r="18" spans="1:23" ht="15.75" customHeight="1">
      <c r="A18" s="101" t="e">
        <f>#REF!&amp;#REF!</f>
        <v>#REF!</v>
      </c>
      <c r="B18" s="101"/>
      <c r="P18" s="101" t="e">
        <f>"评估人员："&amp;#REF!</f>
        <v>#REF!</v>
      </c>
    </row>
    <row r="19" spans="1:23" ht="15.75" customHeight="1">
      <c r="A19" s="101" t="e">
        <f>CONCATENATE(#REF!,#REF!,#REF!,#REF!,#REF!,#REF!,#REF!)</f>
        <v>#REF!</v>
      </c>
      <c r="B19" s="101"/>
    </row>
  </sheetData>
  <mergeCells count="33">
    <mergeCell ref="A2:V2"/>
    <mergeCell ref="V5:V6"/>
    <mergeCell ref="E5:E6"/>
    <mergeCell ref="F5:F6"/>
    <mergeCell ref="G5:G6"/>
    <mergeCell ref="C5:C6"/>
    <mergeCell ref="D5:D6"/>
    <mergeCell ref="H5:H6"/>
    <mergeCell ref="I5:I6"/>
    <mergeCell ref="N5:O5"/>
    <mergeCell ref="J5:J6"/>
    <mergeCell ref="A3:V3"/>
    <mergeCell ref="P5:Q5"/>
    <mergeCell ref="R5:T5"/>
    <mergeCell ref="U5:U6"/>
    <mergeCell ref="A5:A6"/>
    <mergeCell ref="AC5:AC6"/>
    <mergeCell ref="AE5:AE6"/>
    <mergeCell ref="AF5:AF6"/>
    <mergeCell ref="AG5:AG6"/>
    <mergeCell ref="A17:C17"/>
    <mergeCell ref="Y5:Y6"/>
    <mergeCell ref="Z5:Z6"/>
    <mergeCell ref="AA5:AA6"/>
    <mergeCell ref="AB5:AB6"/>
    <mergeCell ref="W5:W6"/>
    <mergeCell ref="K5:M5"/>
    <mergeCell ref="B5:B6"/>
    <mergeCell ref="AL5:AL6"/>
    <mergeCell ref="AH5:AH6"/>
    <mergeCell ref="AI5:AI6"/>
    <mergeCell ref="AJ5:AJ6"/>
    <mergeCell ref="AK5:AK6"/>
  </mergeCells>
  <phoneticPr fontId="6" type="noConversion"/>
  <hyperlinks>
    <hyperlink ref="A1" location="索引目录!E37" display="管道及沟槽"/>
    <hyperlink ref="C1" location="固定资产汇总!B10" display="固定资产-管道及沟槽"/>
  </hyperlinks>
  <printOptions horizontalCentered="1"/>
  <pageMargins left="0.35433070866141736" right="0.35433070866141736" top="0.78740157480314965" bottom="0.78740157480314965" header="1.02" footer="0.51181102362204722"/>
  <pageSetup paperSize="9" scale="69" fitToHeight="0" orientation="landscape" horizontalDpi="4294967292" r:id="rId1"/>
  <headerFooter alignWithMargins="0">
    <oddHeader>&amp;R&amp;"宋体,常规"&amp;10表&amp;"Times New Roman,常规"4-6-3
&amp;"宋体,常规"共&amp;"Times New Roman,常规"&amp;N&amp;"宋体,常规"页第&amp;"Times New Roman,常规"&amp;P&amp;"宋体,常规"页</oddHeader>
  </headerFooter>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dimension ref="A1:BL26"/>
  <sheetViews>
    <sheetView zoomScale="90" zoomScaleNormal="90" workbookViewId="0">
      <pane xSplit="10" ySplit="8" topLeftCell="K9" activePane="bottomRight" state="frozen"/>
      <selection activeCell="H10" sqref="H10"/>
      <selection pane="topRight" activeCell="H10" sqref="H10"/>
      <selection pane="bottomLeft" activeCell="H10" sqref="H10"/>
      <selection pane="bottomRight" activeCell="H10" sqref="H10"/>
    </sheetView>
  </sheetViews>
  <sheetFormatPr defaultRowHeight="15.75" outlineLevelCol="1"/>
  <cols>
    <col min="1" max="1" width="4.875" style="422" customWidth="1"/>
    <col min="2" max="2" width="12.75" style="422" customWidth="1"/>
    <col min="3" max="3" width="6.25" style="451" customWidth="1" outlineLevel="1"/>
    <col min="4" max="4" width="6.75" style="451" customWidth="1" outlineLevel="1"/>
    <col min="5" max="5" width="5.625" style="451" customWidth="1" outlineLevel="1"/>
    <col min="6" max="6" width="5.625" style="424" customWidth="1"/>
    <col min="7" max="7" width="4.75" style="424" customWidth="1"/>
    <col min="8" max="8" width="6.25" style="424" customWidth="1"/>
    <col min="9" max="9" width="5.125" style="424" customWidth="1"/>
    <col min="10" max="10" width="6.5" style="459" customWidth="1" outlineLevel="1"/>
    <col min="11" max="11" width="5.5" style="459" customWidth="1" outlineLevel="1" collapsed="1"/>
    <col min="12" max="14" width="5.125" style="459" customWidth="1" outlineLevel="1"/>
    <col min="15" max="16" width="4.875" style="459" customWidth="1" outlineLevel="1"/>
    <col min="17" max="17" width="5" style="459" customWidth="1" outlineLevel="1"/>
    <col min="18" max="18" width="7.375" style="459" customWidth="1" outlineLevel="1"/>
    <col min="19" max="20" width="5.125" style="459" customWidth="1" outlineLevel="1"/>
    <col min="21" max="21" width="4.875" style="459" customWidth="1" outlineLevel="1"/>
    <col min="22" max="22" width="5.875" style="459" customWidth="1" outlineLevel="1"/>
    <col min="23" max="23" width="9" style="459" customWidth="1" outlineLevel="1"/>
    <col min="24" max="24" width="5.625" style="459" customWidth="1" outlineLevel="1"/>
    <col min="25" max="25" width="5.125" style="424" customWidth="1"/>
    <col min="26" max="26" width="4.875" style="424" customWidth="1"/>
    <col min="27" max="27" width="4.5" style="424" customWidth="1"/>
    <col min="28" max="29" width="5.25" style="459" customWidth="1" outlineLevel="1"/>
    <col min="30" max="30" width="4.875" style="459" customWidth="1" outlineLevel="1"/>
    <col min="31" max="31" width="4.75" style="459" customWidth="1" outlineLevel="1"/>
    <col min="32" max="32" width="4.875" style="424" customWidth="1"/>
    <col min="33" max="33" width="6.125" style="424" customWidth="1"/>
    <col min="34" max="34" width="4.5" style="424" customWidth="1"/>
    <col min="35" max="35" width="5.75" style="424" customWidth="1"/>
    <col min="36" max="36" width="5.625" style="424" customWidth="1"/>
    <col min="37" max="37" width="5.5" style="422" customWidth="1"/>
    <col min="38" max="38" width="5.125" style="444" customWidth="1" collapsed="1"/>
    <col min="39" max="39" width="5.5" style="424" customWidth="1"/>
    <col min="40" max="40" width="6.875" style="459" customWidth="1" outlineLevel="1"/>
    <col min="41" max="41" width="9.75" style="459" customWidth="1" outlineLevel="1"/>
    <col min="42" max="42" width="5.375" style="424" customWidth="1" outlineLevel="1"/>
    <col min="43" max="43" width="13.375" style="445" customWidth="1" outlineLevel="1" collapsed="1"/>
    <col min="44" max="44" width="13.375" style="422" customWidth="1" outlineLevel="1"/>
    <col min="45" max="45" width="13.375" style="422" customWidth="1" outlineLevel="1" collapsed="1"/>
    <col min="46" max="46" width="13.375" style="422" customWidth="1" outlineLevel="1"/>
    <col min="47" max="48" width="13.375" style="422" customWidth="1"/>
    <col min="49" max="49" width="11.875" style="422" customWidth="1"/>
    <col min="50" max="50" width="5.75" style="422" customWidth="1"/>
    <col min="51" max="51" width="12.5" style="422" customWidth="1"/>
    <col min="52" max="52" width="5.5" style="422" customWidth="1"/>
    <col min="53" max="53" width="7.75" style="422" customWidth="1" outlineLevel="1"/>
    <col min="54" max="54" width="8.75" style="422" customWidth="1"/>
    <col min="55" max="55" width="9.125" style="422" bestFit="1" customWidth="1"/>
    <col min="56" max="56" width="9" style="422"/>
    <col min="57" max="57" width="11.375" style="422" bestFit="1" customWidth="1"/>
    <col min="58" max="16384" width="9" style="422"/>
  </cols>
  <sheetData>
    <row r="1" spans="1:64" s="426" customFormat="1">
      <c r="A1" s="425"/>
      <c r="B1" s="425"/>
      <c r="C1" s="447"/>
      <c r="D1" s="447"/>
      <c r="E1" s="447"/>
      <c r="F1" s="425"/>
      <c r="G1" s="425"/>
      <c r="H1" s="425"/>
      <c r="I1" s="425"/>
      <c r="J1" s="447"/>
      <c r="K1" s="447"/>
      <c r="L1" s="447"/>
      <c r="M1" s="447"/>
      <c r="N1" s="447"/>
      <c r="O1" s="447"/>
      <c r="P1" s="447"/>
      <c r="Q1" s="447"/>
      <c r="R1" s="447"/>
      <c r="S1" s="447"/>
      <c r="T1" s="447"/>
      <c r="U1" s="447"/>
      <c r="V1" s="447"/>
      <c r="W1" s="447"/>
      <c r="X1" s="447"/>
      <c r="Y1" s="425"/>
      <c r="Z1" s="425"/>
      <c r="AA1" s="425"/>
      <c r="AB1" s="447"/>
      <c r="AC1" s="447"/>
      <c r="AD1" s="447"/>
      <c r="AE1" s="447"/>
      <c r="AF1" s="425"/>
      <c r="AG1" s="425"/>
      <c r="AH1" s="425"/>
      <c r="AI1" s="425"/>
      <c r="AJ1" s="425"/>
      <c r="AK1" s="425"/>
      <c r="AL1" s="425"/>
      <c r="AM1" s="425"/>
      <c r="AN1" s="447"/>
      <c r="AO1" s="447"/>
      <c r="AP1" s="425"/>
      <c r="AQ1" s="425"/>
      <c r="AR1" s="425"/>
      <c r="AS1" s="425"/>
      <c r="AT1" s="425"/>
      <c r="AU1" s="425"/>
      <c r="AV1" s="425"/>
      <c r="AW1" s="425"/>
      <c r="AX1" s="425"/>
      <c r="AY1" s="425"/>
      <c r="AZ1" s="425"/>
      <c r="BA1" s="425"/>
      <c r="BB1" s="428" t="s">
        <v>1021</v>
      </c>
      <c r="BC1" s="425"/>
      <c r="BD1" s="425"/>
      <c r="BE1" s="425"/>
      <c r="BF1" s="425"/>
      <c r="BG1" s="425"/>
      <c r="BH1" s="425"/>
      <c r="BI1" s="425"/>
      <c r="BJ1" s="425"/>
      <c r="BK1" s="425"/>
      <c r="BL1" s="425"/>
    </row>
    <row r="2" spans="1:64" ht="23.25" customHeight="1">
      <c r="A2" s="950" t="s">
        <v>1022</v>
      </c>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0"/>
      <c r="AM2" s="950"/>
      <c r="AN2" s="950"/>
      <c r="AO2" s="950"/>
      <c r="AP2" s="950"/>
      <c r="AQ2" s="950"/>
      <c r="AR2" s="950"/>
      <c r="AS2" s="950"/>
      <c r="AT2" s="950"/>
      <c r="AU2" s="950"/>
      <c r="AV2" s="950"/>
      <c r="AW2" s="950"/>
      <c r="AX2" s="950"/>
      <c r="AY2" s="950"/>
      <c r="AZ2" s="950"/>
      <c r="BA2" s="950"/>
      <c r="BB2" s="950"/>
      <c r="BC2" s="429"/>
      <c r="BD2" s="429"/>
      <c r="BE2" s="429"/>
      <c r="BF2" s="429"/>
      <c r="BG2" s="429"/>
    </row>
    <row r="3" spans="1:64" s="426" customFormat="1" ht="17.45" customHeight="1">
      <c r="A3" s="951" t="e">
        <f>管道沟槽!A3</f>
        <v>#REF!</v>
      </c>
      <c r="B3" s="951"/>
      <c r="C3" s="951"/>
      <c r="D3" s="951"/>
      <c r="E3" s="951"/>
      <c r="F3" s="951"/>
      <c r="G3" s="951"/>
      <c r="H3" s="951"/>
      <c r="I3" s="951"/>
      <c r="J3" s="951"/>
      <c r="K3" s="951"/>
      <c r="L3" s="951"/>
      <c r="M3" s="951"/>
      <c r="N3" s="951"/>
      <c r="O3" s="951"/>
      <c r="P3" s="951"/>
      <c r="Q3" s="951"/>
      <c r="R3" s="951"/>
      <c r="S3" s="951"/>
      <c r="T3" s="951"/>
      <c r="U3" s="951"/>
      <c r="V3" s="951"/>
      <c r="W3" s="951"/>
      <c r="X3" s="951"/>
      <c r="Y3" s="951"/>
      <c r="Z3" s="951"/>
      <c r="AA3" s="951"/>
      <c r="AB3" s="951"/>
      <c r="AC3" s="951"/>
      <c r="AD3" s="951"/>
      <c r="AE3" s="951"/>
      <c r="AF3" s="951"/>
      <c r="AG3" s="951"/>
      <c r="AH3" s="951"/>
      <c r="AI3" s="951"/>
      <c r="AJ3" s="951"/>
      <c r="AK3" s="951"/>
      <c r="AL3" s="951"/>
      <c r="AM3" s="951"/>
      <c r="AN3" s="951"/>
      <c r="AO3" s="951"/>
      <c r="AP3" s="951"/>
      <c r="AQ3" s="951"/>
      <c r="AR3" s="951"/>
      <c r="AS3" s="951"/>
      <c r="AT3" s="951"/>
      <c r="AU3" s="951"/>
      <c r="AV3" s="951"/>
      <c r="AW3" s="951"/>
      <c r="AX3" s="951"/>
      <c r="AY3" s="951"/>
      <c r="AZ3" s="951"/>
      <c r="BA3" s="951"/>
      <c r="BB3" s="951"/>
      <c r="BC3" s="430"/>
      <c r="BD3" s="430"/>
      <c r="BE3" s="430"/>
      <c r="BF3" s="430"/>
      <c r="BG3" s="430"/>
    </row>
    <row r="4" spans="1:64" s="435" customFormat="1" ht="17.45" customHeight="1">
      <c r="A4" s="431" t="e">
        <f>#REF!&amp;#REF!</f>
        <v>#REF!</v>
      </c>
      <c r="B4" s="391"/>
      <c r="C4" s="448"/>
      <c r="D4" s="448"/>
      <c r="E4" s="448"/>
      <c r="F4" s="392"/>
      <c r="G4" s="392"/>
      <c r="H4" s="392"/>
      <c r="I4" s="392"/>
      <c r="J4" s="448"/>
      <c r="K4" s="448"/>
      <c r="L4" s="448"/>
      <c r="M4" s="452"/>
      <c r="N4" s="448"/>
      <c r="O4" s="448"/>
      <c r="P4" s="448"/>
      <c r="Q4" s="448"/>
      <c r="R4" s="453">
        <v>20</v>
      </c>
      <c r="S4" s="452"/>
      <c r="T4" s="452"/>
      <c r="U4" s="448"/>
      <c r="V4" s="448"/>
      <c r="W4" s="448"/>
      <c r="X4" s="448"/>
      <c r="Y4" s="392"/>
      <c r="Z4" s="392"/>
      <c r="AA4" s="392"/>
      <c r="AB4" s="448"/>
      <c r="AC4" s="448"/>
      <c r="AD4" s="448"/>
      <c r="AE4" s="448"/>
      <c r="AF4" s="392"/>
      <c r="AG4" s="392"/>
      <c r="AH4" s="392"/>
      <c r="AI4" s="392"/>
      <c r="AJ4" s="392"/>
      <c r="AK4" s="427"/>
      <c r="AL4" s="427"/>
      <c r="AM4" s="427"/>
      <c r="AN4" s="465"/>
      <c r="AO4" s="466"/>
      <c r="AP4" s="432"/>
      <c r="AQ4" s="432"/>
      <c r="AR4" s="433"/>
      <c r="AS4" s="433"/>
      <c r="AT4" s="432"/>
      <c r="AU4" s="432"/>
      <c r="AV4" s="427"/>
      <c r="AW4" s="427"/>
      <c r="AX4" s="427"/>
      <c r="AY4" s="427"/>
      <c r="AZ4" s="427"/>
      <c r="BA4" s="427"/>
      <c r="BB4" s="434" t="s">
        <v>949</v>
      </c>
      <c r="BC4" s="429"/>
      <c r="BD4" s="429"/>
      <c r="BE4" s="429"/>
      <c r="BF4" s="429"/>
      <c r="BG4" s="429"/>
    </row>
    <row r="5" spans="1:64" s="436" customFormat="1" ht="30" customHeight="1">
      <c r="A5" s="919" t="s">
        <v>193</v>
      </c>
      <c r="B5" s="919" t="s">
        <v>950</v>
      </c>
      <c r="C5" s="921" t="s">
        <v>951</v>
      </c>
      <c r="D5" s="921" t="s">
        <v>952</v>
      </c>
      <c r="E5" s="921" t="s">
        <v>953</v>
      </c>
      <c r="F5" s="918" t="s">
        <v>954</v>
      </c>
      <c r="G5" s="918" t="s">
        <v>955</v>
      </c>
      <c r="H5" s="918" t="s">
        <v>956</v>
      </c>
      <c r="I5" s="918" t="s">
        <v>957</v>
      </c>
      <c r="J5" s="454" t="s">
        <v>958</v>
      </c>
      <c r="K5" s="929" t="s">
        <v>959</v>
      </c>
      <c r="L5" s="929"/>
      <c r="M5" s="929" t="s">
        <v>960</v>
      </c>
      <c r="N5" s="929"/>
      <c r="O5" s="930" t="s">
        <v>961</v>
      </c>
      <c r="P5" s="930"/>
      <c r="Q5" s="931" t="s">
        <v>962</v>
      </c>
      <c r="R5" s="932"/>
      <c r="S5" s="932"/>
      <c r="T5" s="932"/>
      <c r="U5" s="933"/>
      <c r="V5" s="454" t="s">
        <v>963</v>
      </c>
      <c r="W5" s="930" t="s">
        <v>964</v>
      </c>
      <c r="X5" s="949"/>
      <c r="Y5" s="947" t="s">
        <v>965</v>
      </c>
      <c r="Z5" s="948"/>
      <c r="AA5" s="948"/>
      <c r="AB5" s="921" t="s">
        <v>966</v>
      </c>
      <c r="AC5" s="921" t="s">
        <v>967</v>
      </c>
      <c r="AD5" s="921" t="s">
        <v>968</v>
      </c>
      <c r="AE5" s="921" t="s">
        <v>969</v>
      </c>
      <c r="AF5" s="918" t="s">
        <v>970</v>
      </c>
      <c r="AG5" s="918" t="s">
        <v>971</v>
      </c>
      <c r="AH5" s="918" t="s">
        <v>972</v>
      </c>
      <c r="AI5" s="918" t="s">
        <v>973</v>
      </c>
      <c r="AJ5" s="918" t="s">
        <v>974</v>
      </c>
      <c r="AK5" s="919" t="s">
        <v>975</v>
      </c>
      <c r="AL5" s="945" t="s">
        <v>976</v>
      </c>
      <c r="AM5" s="918" t="s">
        <v>977</v>
      </c>
      <c r="AN5" s="921" t="s">
        <v>978</v>
      </c>
      <c r="AO5" s="921" t="s">
        <v>979</v>
      </c>
      <c r="AP5" s="918" t="s">
        <v>980</v>
      </c>
      <c r="AQ5" s="934" t="s">
        <v>981</v>
      </c>
      <c r="AR5" s="935"/>
      <c r="AS5" s="934" t="s">
        <v>982</v>
      </c>
      <c r="AT5" s="940"/>
      <c r="AU5" s="934" t="s">
        <v>983</v>
      </c>
      <c r="AV5" s="940"/>
      <c r="AW5" s="952" t="s">
        <v>984</v>
      </c>
      <c r="AX5" s="953"/>
      <c r="AY5" s="954"/>
      <c r="AZ5" s="961" t="s">
        <v>985</v>
      </c>
      <c r="BA5" s="961" t="s">
        <v>986</v>
      </c>
      <c r="BB5" s="961" t="s">
        <v>987</v>
      </c>
    </row>
    <row r="6" spans="1:64" s="436" customFormat="1" ht="18.75" customHeight="1">
      <c r="A6" s="919"/>
      <c r="B6" s="919"/>
      <c r="C6" s="921"/>
      <c r="D6" s="921"/>
      <c r="E6" s="921"/>
      <c r="F6" s="918"/>
      <c r="G6" s="918"/>
      <c r="H6" s="918"/>
      <c r="I6" s="918"/>
      <c r="J6" s="963" t="s">
        <v>988</v>
      </c>
      <c r="K6" s="921" t="s">
        <v>989</v>
      </c>
      <c r="L6" s="921" t="s">
        <v>990</v>
      </c>
      <c r="M6" s="921" t="s">
        <v>989</v>
      </c>
      <c r="N6" s="921" t="s">
        <v>991</v>
      </c>
      <c r="O6" s="930"/>
      <c r="P6" s="930"/>
      <c r="Q6" s="922" t="s">
        <v>992</v>
      </c>
      <c r="R6" s="925" t="s">
        <v>993</v>
      </c>
      <c r="S6" s="925"/>
      <c r="T6" s="925" t="s">
        <v>994</v>
      </c>
      <c r="U6" s="927" t="s">
        <v>995</v>
      </c>
      <c r="V6" s="927" t="s">
        <v>996</v>
      </c>
      <c r="W6" s="949"/>
      <c r="X6" s="949"/>
      <c r="Y6" s="948"/>
      <c r="Z6" s="948"/>
      <c r="AA6" s="948"/>
      <c r="AB6" s="921"/>
      <c r="AC6" s="921"/>
      <c r="AD6" s="921"/>
      <c r="AE6" s="921"/>
      <c r="AF6" s="918"/>
      <c r="AG6" s="918"/>
      <c r="AH6" s="918"/>
      <c r="AI6" s="918"/>
      <c r="AJ6" s="918"/>
      <c r="AK6" s="919"/>
      <c r="AL6" s="945"/>
      <c r="AM6" s="918"/>
      <c r="AN6" s="921"/>
      <c r="AO6" s="921"/>
      <c r="AP6" s="918"/>
      <c r="AQ6" s="936"/>
      <c r="AR6" s="937"/>
      <c r="AS6" s="941"/>
      <c r="AT6" s="942"/>
      <c r="AU6" s="941"/>
      <c r="AV6" s="942"/>
      <c r="AW6" s="955"/>
      <c r="AX6" s="956"/>
      <c r="AY6" s="957"/>
      <c r="AZ6" s="961"/>
      <c r="BA6" s="961"/>
      <c r="BB6" s="961"/>
    </row>
    <row r="7" spans="1:64" s="436" customFormat="1" ht="27" customHeight="1">
      <c r="A7" s="919"/>
      <c r="B7" s="919"/>
      <c r="C7" s="921"/>
      <c r="D7" s="921"/>
      <c r="E7" s="921"/>
      <c r="F7" s="918"/>
      <c r="G7" s="918"/>
      <c r="H7" s="918"/>
      <c r="I7" s="918"/>
      <c r="J7" s="964"/>
      <c r="K7" s="921"/>
      <c r="L7" s="921"/>
      <c r="M7" s="921"/>
      <c r="N7" s="921"/>
      <c r="O7" s="454" t="s">
        <v>997</v>
      </c>
      <c r="P7" s="454" t="s">
        <v>998</v>
      </c>
      <c r="Q7" s="923"/>
      <c r="R7" s="455" t="s">
        <v>999</v>
      </c>
      <c r="S7" s="455" t="s">
        <v>1000</v>
      </c>
      <c r="T7" s="926"/>
      <c r="U7" s="928"/>
      <c r="V7" s="928"/>
      <c r="W7" s="456" t="s">
        <v>1001</v>
      </c>
      <c r="X7" s="454" t="s">
        <v>1002</v>
      </c>
      <c r="Y7" s="918" t="s">
        <v>1003</v>
      </c>
      <c r="Z7" s="918" t="s">
        <v>1004</v>
      </c>
      <c r="AA7" s="918" t="s">
        <v>1005</v>
      </c>
      <c r="AB7" s="921"/>
      <c r="AC7" s="921"/>
      <c r="AD7" s="921"/>
      <c r="AE7" s="921"/>
      <c r="AF7" s="918"/>
      <c r="AG7" s="918"/>
      <c r="AH7" s="918"/>
      <c r="AI7" s="918"/>
      <c r="AJ7" s="918"/>
      <c r="AK7" s="919"/>
      <c r="AL7" s="945"/>
      <c r="AM7" s="918"/>
      <c r="AN7" s="921"/>
      <c r="AO7" s="921"/>
      <c r="AP7" s="918"/>
      <c r="AQ7" s="938"/>
      <c r="AR7" s="939"/>
      <c r="AS7" s="943"/>
      <c r="AT7" s="944"/>
      <c r="AU7" s="943"/>
      <c r="AV7" s="944"/>
      <c r="AW7" s="958"/>
      <c r="AX7" s="959"/>
      <c r="AY7" s="960"/>
      <c r="AZ7" s="961"/>
      <c r="BA7" s="961"/>
      <c r="BB7" s="961"/>
    </row>
    <row r="8" spans="1:64" s="409" customFormat="1" ht="25.5" customHeight="1">
      <c r="A8" s="920"/>
      <c r="B8" s="920"/>
      <c r="C8" s="921"/>
      <c r="D8" s="921"/>
      <c r="E8" s="921"/>
      <c r="F8" s="918"/>
      <c r="G8" s="918"/>
      <c r="H8" s="918"/>
      <c r="I8" s="918"/>
      <c r="J8" s="965"/>
      <c r="K8" s="921"/>
      <c r="L8" s="921"/>
      <c r="M8" s="921"/>
      <c r="N8" s="921"/>
      <c r="O8" s="454" t="s">
        <v>1006</v>
      </c>
      <c r="P8" s="454" t="s">
        <v>1007</v>
      </c>
      <c r="Q8" s="924"/>
      <c r="R8" s="457" t="s">
        <v>1008</v>
      </c>
      <c r="S8" s="457" t="s">
        <v>1008</v>
      </c>
      <c r="T8" s="457" t="s">
        <v>1008</v>
      </c>
      <c r="U8" s="457"/>
      <c r="V8" s="457" t="s">
        <v>1009</v>
      </c>
      <c r="W8" s="454" t="s">
        <v>1010</v>
      </c>
      <c r="X8" s="454" t="s">
        <v>1010</v>
      </c>
      <c r="Y8" s="946"/>
      <c r="Z8" s="946"/>
      <c r="AA8" s="946"/>
      <c r="AB8" s="921"/>
      <c r="AC8" s="921"/>
      <c r="AD8" s="921"/>
      <c r="AE8" s="921"/>
      <c r="AF8" s="918"/>
      <c r="AG8" s="918"/>
      <c r="AH8" s="918"/>
      <c r="AI8" s="918"/>
      <c r="AJ8" s="918"/>
      <c r="AK8" s="920"/>
      <c r="AL8" s="945"/>
      <c r="AM8" s="918"/>
      <c r="AN8" s="921"/>
      <c r="AO8" s="921"/>
      <c r="AP8" s="918"/>
      <c r="AQ8" s="437" t="s">
        <v>1011</v>
      </c>
      <c r="AR8" s="438" t="s">
        <v>1012</v>
      </c>
      <c r="AS8" s="438" t="s">
        <v>1013</v>
      </c>
      <c r="AT8" s="438" t="s">
        <v>1014</v>
      </c>
      <c r="AU8" s="438" t="s">
        <v>1013</v>
      </c>
      <c r="AV8" s="438" t="s">
        <v>1014</v>
      </c>
      <c r="AW8" s="439" t="s">
        <v>1011</v>
      </c>
      <c r="AX8" s="439" t="s">
        <v>1015</v>
      </c>
      <c r="AY8" s="439" t="s">
        <v>1012</v>
      </c>
      <c r="AZ8" s="962"/>
      <c r="BA8" s="962"/>
      <c r="BB8" s="962"/>
      <c r="BC8" s="440" t="s">
        <v>1016</v>
      </c>
      <c r="BD8" s="440" t="s">
        <v>1017</v>
      </c>
      <c r="BE8" s="440" t="s">
        <v>1018</v>
      </c>
      <c r="BF8" s="440" t="s">
        <v>1019</v>
      </c>
    </row>
    <row r="9" spans="1:64" s="409" customFormat="1" ht="22.5" customHeight="1">
      <c r="A9" s="393"/>
      <c r="B9" s="394"/>
      <c r="C9" s="449"/>
      <c r="D9" s="449"/>
      <c r="E9" s="450"/>
      <c r="F9" s="396"/>
      <c r="G9" s="397"/>
      <c r="H9" s="395"/>
      <c r="I9" s="395"/>
      <c r="J9" s="458"/>
      <c r="K9" s="450"/>
      <c r="L9" s="450"/>
      <c r="M9" s="450"/>
      <c r="N9" s="450"/>
      <c r="O9" s="450"/>
      <c r="P9" s="450"/>
      <c r="Q9" s="450"/>
      <c r="R9" s="450"/>
      <c r="S9" s="450"/>
      <c r="T9" s="450"/>
      <c r="U9" s="450"/>
      <c r="V9" s="450"/>
      <c r="W9" s="450"/>
      <c r="X9" s="450"/>
      <c r="Y9" s="398"/>
      <c r="Z9" s="398"/>
      <c r="AA9" s="398"/>
      <c r="AB9" s="450"/>
      <c r="AC9" s="450"/>
      <c r="AD9" s="460"/>
      <c r="AE9" s="460"/>
      <c r="AF9" s="396"/>
      <c r="AG9" s="396"/>
      <c r="AH9" s="396"/>
      <c r="AI9" s="400"/>
      <c r="AJ9" s="396"/>
      <c r="AK9" s="401"/>
      <c r="AL9" s="401"/>
      <c r="AM9" s="402"/>
      <c r="AN9" s="450"/>
      <c r="AO9" s="450"/>
      <c r="AP9" s="396"/>
      <c r="AQ9" s="400"/>
      <c r="AR9" s="400"/>
      <c r="AS9" s="403"/>
      <c r="AT9" s="404"/>
      <c r="AU9" s="400"/>
      <c r="AV9" s="400"/>
      <c r="AW9" s="400"/>
      <c r="AX9" s="405"/>
      <c r="AY9" s="400"/>
      <c r="AZ9" s="406"/>
      <c r="BA9" s="407"/>
      <c r="BB9" s="408"/>
      <c r="BD9" s="410"/>
    </row>
    <row r="10" spans="1:64" s="409" customFormat="1" ht="22.5" customHeight="1">
      <c r="A10" s="441"/>
      <c r="B10" s="394"/>
      <c r="C10" s="449"/>
      <c r="D10" s="449"/>
      <c r="E10" s="450"/>
      <c r="F10" s="416"/>
      <c r="G10" s="397"/>
      <c r="H10" s="395"/>
      <c r="I10" s="395"/>
      <c r="J10" s="458"/>
      <c r="K10" s="450"/>
      <c r="L10" s="450"/>
      <c r="M10" s="450"/>
      <c r="N10" s="450"/>
      <c r="O10" s="450"/>
      <c r="P10" s="450"/>
      <c r="Q10" s="450"/>
      <c r="R10" s="450"/>
      <c r="S10" s="450"/>
      <c r="T10" s="450"/>
      <c r="U10" s="450"/>
      <c r="V10" s="450"/>
      <c r="W10" s="450"/>
      <c r="X10" s="450"/>
      <c r="Y10" s="398"/>
      <c r="Z10" s="398"/>
      <c r="AA10" s="398"/>
      <c r="AB10" s="450"/>
      <c r="AC10" s="450"/>
      <c r="AD10" s="460"/>
      <c r="AE10" s="460"/>
      <c r="AF10" s="396"/>
      <c r="AG10" s="396"/>
      <c r="AH10" s="396"/>
      <c r="AI10" s="400"/>
      <c r="AJ10" s="396"/>
      <c r="AK10" s="401"/>
      <c r="AL10" s="401"/>
      <c r="AM10" s="402"/>
      <c r="AN10" s="450"/>
      <c r="AO10" s="450"/>
      <c r="AP10" s="396"/>
      <c r="AQ10" s="404"/>
      <c r="AR10" s="403"/>
      <c r="AS10" s="403"/>
      <c r="AT10" s="400"/>
      <c r="AU10" s="442"/>
      <c r="AV10" s="442"/>
      <c r="AW10" s="443"/>
      <c r="AX10" s="405"/>
      <c r="AY10" s="442"/>
      <c r="AZ10" s="442"/>
      <c r="BA10" s="442"/>
      <c r="BB10" s="411"/>
      <c r="BD10" s="410"/>
    </row>
    <row r="11" spans="1:64" s="409" customFormat="1" ht="22.5" customHeight="1">
      <c r="A11" s="393"/>
      <c r="B11" s="414"/>
      <c r="C11" s="449"/>
      <c r="D11" s="449"/>
      <c r="E11" s="450"/>
      <c r="F11" s="395"/>
      <c r="G11" s="397"/>
      <c r="H11" s="395"/>
      <c r="I11" s="396"/>
      <c r="J11" s="458"/>
      <c r="K11" s="450"/>
      <c r="L11" s="450"/>
      <c r="M11" s="450"/>
      <c r="N11" s="450"/>
      <c r="O11" s="450"/>
      <c r="P11" s="450"/>
      <c r="Q11" s="450"/>
      <c r="R11" s="450"/>
      <c r="S11" s="450"/>
      <c r="T11" s="450"/>
      <c r="U11" s="450"/>
      <c r="V11" s="450"/>
      <c r="W11" s="450"/>
      <c r="X11" s="450"/>
      <c r="Y11" s="412"/>
      <c r="Z11" s="412"/>
      <c r="AA11" s="415"/>
      <c r="AB11" s="461"/>
      <c r="AC11" s="450"/>
      <c r="AD11" s="460"/>
      <c r="AE11" s="460"/>
      <c r="AF11" s="412"/>
      <c r="AG11" s="399"/>
      <c r="AH11" s="399"/>
      <c r="AI11" s="400"/>
      <c r="AJ11" s="400"/>
      <c r="AK11" s="401"/>
      <c r="AL11" s="401"/>
      <c r="AM11" s="402"/>
      <c r="AN11" s="450"/>
      <c r="AO11" s="467"/>
      <c r="AP11" s="396"/>
      <c r="AQ11" s="400"/>
      <c r="AR11" s="400"/>
      <c r="AS11" s="400"/>
      <c r="AT11" s="400"/>
      <c r="AU11" s="400"/>
      <c r="AV11" s="400"/>
      <c r="AW11" s="400"/>
      <c r="AX11" s="405"/>
      <c r="AY11" s="400"/>
      <c r="AZ11" s="406"/>
      <c r="BA11" s="407"/>
      <c r="BB11" s="411"/>
      <c r="BD11" s="410"/>
    </row>
    <row r="12" spans="1:64" s="409" customFormat="1" ht="22.5" customHeight="1">
      <c r="A12" s="393"/>
      <c r="B12" s="414"/>
      <c r="C12" s="449"/>
      <c r="D12" s="449"/>
      <c r="E12" s="450"/>
      <c r="F12" s="395"/>
      <c r="G12" s="397"/>
      <c r="H12" s="395"/>
      <c r="I12" s="396"/>
      <c r="J12" s="458"/>
      <c r="K12" s="450"/>
      <c r="L12" s="450"/>
      <c r="M12" s="450"/>
      <c r="N12" s="450"/>
      <c r="O12" s="450"/>
      <c r="P12" s="450"/>
      <c r="Q12" s="450"/>
      <c r="R12" s="450"/>
      <c r="S12" s="450"/>
      <c r="T12" s="450"/>
      <c r="U12" s="450"/>
      <c r="V12" s="450"/>
      <c r="W12" s="450"/>
      <c r="X12" s="450"/>
      <c r="Y12" s="412"/>
      <c r="Z12" s="412"/>
      <c r="AA12" s="415"/>
      <c r="AB12" s="461"/>
      <c r="AC12" s="450"/>
      <c r="AD12" s="460"/>
      <c r="AE12" s="460"/>
      <c r="AF12" s="412"/>
      <c r="AG12" s="399"/>
      <c r="AH12" s="399"/>
      <c r="AI12" s="400"/>
      <c r="AJ12" s="400"/>
      <c r="AK12" s="401"/>
      <c r="AL12" s="401"/>
      <c r="AM12" s="402"/>
      <c r="AN12" s="450"/>
      <c r="AO12" s="467"/>
      <c r="AP12" s="396"/>
      <c r="AQ12" s="400"/>
      <c r="AR12" s="400"/>
      <c r="AS12" s="400"/>
      <c r="AT12" s="400"/>
      <c r="AU12" s="400"/>
      <c r="AV12" s="400"/>
      <c r="AW12" s="400"/>
      <c r="AX12" s="405"/>
      <c r="AY12" s="400"/>
      <c r="AZ12" s="406"/>
      <c r="BA12" s="407"/>
      <c r="BB12" s="411"/>
      <c r="BD12" s="410"/>
    </row>
    <row r="13" spans="1:64" s="409" customFormat="1" ht="22.5" customHeight="1">
      <c r="A13" s="393"/>
      <c r="B13" s="414"/>
      <c r="C13" s="449"/>
      <c r="D13" s="449"/>
      <c r="E13" s="450"/>
      <c r="F13" s="395"/>
      <c r="G13" s="397"/>
      <c r="H13" s="395"/>
      <c r="I13" s="396"/>
      <c r="J13" s="458"/>
      <c r="K13" s="450"/>
      <c r="L13" s="450"/>
      <c r="M13" s="450"/>
      <c r="N13" s="450"/>
      <c r="O13" s="450"/>
      <c r="P13" s="450"/>
      <c r="Q13" s="450"/>
      <c r="R13" s="450"/>
      <c r="S13" s="450"/>
      <c r="T13" s="450"/>
      <c r="U13" s="450"/>
      <c r="V13" s="450"/>
      <c r="W13" s="450"/>
      <c r="X13" s="450"/>
      <c r="Y13" s="412"/>
      <c r="Z13" s="412"/>
      <c r="AA13" s="413"/>
      <c r="AB13" s="461"/>
      <c r="AC13" s="450"/>
      <c r="AD13" s="460"/>
      <c r="AE13" s="460"/>
      <c r="AF13" s="412"/>
      <c r="AG13" s="396"/>
      <c r="AH13" s="399"/>
      <c r="AI13" s="400"/>
      <c r="AJ13" s="400"/>
      <c r="AK13" s="401"/>
      <c r="AL13" s="401"/>
      <c r="AM13" s="402"/>
      <c r="AN13" s="450"/>
      <c r="AO13" s="467"/>
      <c r="AP13" s="396"/>
      <c r="AQ13" s="400"/>
      <c r="AR13" s="400"/>
      <c r="AS13" s="400"/>
      <c r="AT13" s="400"/>
      <c r="AU13" s="400"/>
      <c r="AV13" s="400"/>
      <c r="AW13" s="400"/>
      <c r="AX13" s="405"/>
      <c r="AY13" s="400"/>
      <c r="AZ13" s="406"/>
      <c r="BA13" s="407"/>
      <c r="BB13" s="411"/>
      <c r="BD13" s="410"/>
    </row>
    <row r="14" spans="1:64" s="409" customFormat="1" ht="22.5" customHeight="1">
      <c r="A14" s="393"/>
      <c r="B14" s="394"/>
      <c r="C14" s="449"/>
      <c r="D14" s="449"/>
      <c r="E14" s="450"/>
      <c r="F14" s="395"/>
      <c r="G14" s="397"/>
      <c r="H14" s="395"/>
      <c r="I14" s="395"/>
      <c r="J14" s="458"/>
      <c r="K14" s="450"/>
      <c r="L14" s="450"/>
      <c r="M14" s="450"/>
      <c r="N14" s="450"/>
      <c r="O14" s="450"/>
      <c r="P14" s="450"/>
      <c r="Q14" s="450"/>
      <c r="R14" s="450"/>
      <c r="S14" s="450"/>
      <c r="T14" s="450"/>
      <c r="U14" s="450"/>
      <c r="V14" s="450"/>
      <c r="W14" s="450"/>
      <c r="X14" s="450"/>
      <c r="Y14" s="412"/>
      <c r="Z14" s="412"/>
      <c r="AA14" s="413"/>
      <c r="AB14" s="461"/>
      <c r="AC14" s="450"/>
      <c r="AD14" s="460"/>
      <c r="AE14" s="460"/>
      <c r="AF14" s="393"/>
      <c r="AG14" s="399"/>
      <c r="AH14" s="399"/>
      <c r="AI14" s="400"/>
      <c r="AJ14" s="400"/>
      <c r="AK14" s="401"/>
      <c r="AL14" s="401"/>
      <c r="AM14" s="402"/>
      <c r="AN14" s="450"/>
      <c r="AO14" s="467"/>
      <c r="AP14" s="396"/>
      <c r="AQ14" s="400"/>
      <c r="AR14" s="400"/>
      <c r="AS14" s="400"/>
      <c r="AT14" s="400"/>
      <c r="AU14" s="400"/>
      <c r="AV14" s="400"/>
      <c r="AW14" s="400"/>
      <c r="AX14" s="405"/>
      <c r="AY14" s="400"/>
      <c r="AZ14" s="406"/>
      <c r="BA14" s="407"/>
      <c r="BB14" s="411"/>
      <c r="BD14" s="410"/>
    </row>
    <row r="15" spans="1:64" s="409" customFormat="1" ht="22.5" customHeight="1">
      <c r="A15" s="393"/>
      <c r="B15" s="394"/>
      <c r="C15" s="449"/>
      <c r="D15" s="449"/>
      <c r="E15" s="450"/>
      <c r="F15" s="416"/>
      <c r="G15" s="397"/>
      <c r="H15" s="395"/>
      <c r="I15" s="396"/>
      <c r="J15" s="458"/>
      <c r="K15" s="450"/>
      <c r="L15" s="450"/>
      <c r="M15" s="450"/>
      <c r="N15" s="450"/>
      <c r="O15" s="450"/>
      <c r="P15" s="450"/>
      <c r="Q15" s="450"/>
      <c r="R15" s="450"/>
      <c r="S15" s="450"/>
      <c r="T15" s="450"/>
      <c r="U15" s="450"/>
      <c r="V15" s="450"/>
      <c r="W15" s="450"/>
      <c r="X15" s="450"/>
      <c r="Y15" s="393"/>
      <c r="Z15" s="393"/>
      <c r="AA15" s="393"/>
      <c r="AB15" s="462"/>
      <c r="AC15" s="450"/>
      <c r="AD15" s="460"/>
      <c r="AE15" s="460"/>
      <c r="AF15" s="412"/>
      <c r="AG15" s="399"/>
      <c r="AH15" s="399"/>
      <c r="AI15" s="400"/>
      <c r="AJ15" s="400"/>
      <c r="AK15" s="401"/>
      <c r="AL15" s="401"/>
      <c r="AM15" s="402"/>
      <c r="AN15" s="450"/>
      <c r="AO15" s="450"/>
      <c r="AP15" s="396"/>
      <c r="AQ15" s="400"/>
      <c r="AR15" s="400"/>
      <c r="AS15" s="400"/>
      <c r="AT15" s="400"/>
      <c r="AU15" s="400"/>
      <c r="AV15" s="400"/>
      <c r="AW15" s="400"/>
      <c r="AX15" s="405"/>
      <c r="AY15" s="400"/>
      <c r="AZ15" s="406"/>
      <c r="BA15" s="407"/>
      <c r="BB15" s="411"/>
      <c r="BD15" s="410"/>
    </row>
    <row r="16" spans="1:64" s="409" customFormat="1" ht="22.5" customHeight="1">
      <c r="A16" s="393"/>
      <c r="B16" s="394"/>
      <c r="C16" s="449"/>
      <c r="D16" s="449"/>
      <c r="E16" s="450"/>
      <c r="F16" s="416"/>
      <c r="G16" s="397"/>
      <c r="H16" s="395"/>
      <c r="I16" s="396"/>
      <c r="J16" s="458"/>
      <c r="K16" s="450"/>
      <c r="L16" s="450"/>
      <c r="M16" s="450"/>
      <c r="N16" s="450"/>
      <c r="O16" s="450"/>
      <c r="P16" s="450"/>
      <c r="Q16" s="450"/>
      <c r="R16" s="450"/>
      <c r="S16" s="450"/>
      <c r="T16" s="450"/>
      <c r="U16" s="450"/>
      <c r="V16" s="450"/>
      <c r="W16" s="450"/>
      <c r="X16" s="450"/>
      <c r="Y16" s="393"/>
      <c r="Z16" s="393"/>
      <c r="AA16" s="415"/>
      <c r="AB16" s="462"/>
      <c r="AC16" s="450"/>
      <c r="AD16" s="460"/>
      <c r="AE16" s="460"/>
      <c r="AF16" s="396"/>
      <c r="AG16" s="399"/>
      <c r="AH16" s="399"/>
      <c r="AI16" s="400"/>
      <c r="AJ16" s="400"/>
      <c r="AK16" s="401"/>
      <c r="AL16" s="401"/>
      <c r="AM16" s="402"/>
      <c r="AN16" s="450"/>
      <c r="AO16" s="450"/>
      <c r="AP16" s="396"/>
      <c r="AQ16" s="400"/>
      <c r="AR16" s="400"/>
      <c r="AS16" s="400"/>
      <c r="AT16" s="400"/>
      <c r="AU16" s="400"/>
      <c r="AV16" s="400"/>
      <c r="AW16" s="400"/>
      <c r="AX16" s="405"/>
      <c r="AY16" s="400"/>
      <c r="AZ16" s="406"/>
      <c r="BA16" s="407"/>
      <c r="BB16" s="411"/>
      <c r="BD16" s="410"/>
    </row>
    <row r="17" spans="1:56" s="409" customFormat="1" ht="22.5" customHeight="1">
      <c r="A17" s="393"/>
      <c r="B17" s="394"/>
      <c r="C17" s="449"/>
      <c r="D17" s="449"/>
      <c r="E17" s="450"/>
      <c r="F17" s="416"/>
      <c r="G17" s="397"/>
      <c r="H17" s="395"/>
      <c r="I17" s="396"/>
      <c r="J17" s="458"/>
      <c r="K17" s="450"/>
      <c r="L17" s="450"/>
      <c r="M17" s="450"/>
      <c r="N17" s="450"/>
      <c r="O17" s="450"/>
      <c r="P17" s="450"/>
      <c r="Q17" s="450"/>
      <c r="R17" s="450"/>
      <c r="S17" s="450"/>
      <c r="T17" s="450"/>
      <c r="U17" s="450"/>
      <c r="V17" s="450"/>
      <c r="W17" s="450"/>
      <c r="X17" s="450"/>
      <c r="Y17" s="393"/>
      <c r="Z17" s="393"/>
      <c r="AA17" s="393"/>
      <c r="AB17" s="462"/>
      <c r="AC17" s="450"/>
      <c r="AD17" s="460"/>
      <c r="AE17" s="460"/>
      <c r="AF17" s="396"/>
      <c r="AG17" s="396"/>
      <c r="AH17" s="399"/>
      <c r="AI17" s="400"/>
      <c r="AJ17" s="400"/>
      <c r="AK17" s="401"/>
      <c r="AL17" s="401"/>
      <c r="AM17" s="402"/>
      <c r="AN17" s="450"/>
      <c r="AO17" s="467"/>
      <c r="AP17" s="396"/>
      <c r="AQ17" s="400"/>
      <c r="AR17" s="400"/>
      <c r="AS17" s="400"/>
      <c r="AT17" s="400"/>
      <c r="AU17" s="400"/>
      <c r="AV17" s="400"/>
      <c r="AW17" s="400"/>
      <c r="AX17" s="405"/>
      <c r="AY17" s="400"/>
      <c r="AZ17" s="406"/>
      <c r="BA17" s="407"/>
      <c r="BB17" s="411"/>
      <c r="BD17" s="410"/>
    </row>
    <row r="18" spans="1:56" s="409" customFormat="1" ht="22.5" customHeight="1">
      <c r="A18" s="393"/>
      <c r="B18" s="394"/>
      <c r="C18" s="449"/>
      <c r="D18" s="449"/>
      <c r="E18" s="450"/>
      <c r="F18" s="395"/>
      <c r="G18" s="397"/>
      <c r="H18" s="395"/>
      <c r="I18" s="396"/>
      <c r="J18" s="458"/>
      <c r="K18" s="450"/>
      <c r="L18" s="450"/>
      <c r="M18" s="450"/>
      <c r="N18" s="450"/>
      <c r="O18" s="450"/>
      <c r="P18" s="450"/>
      <c r="Q18" s="450"/>
      <c r="R18" s="450"/>
      <c r="S18" s="450"/>
      <c r="T18" s="450"/>
      <c r="U18" s="450"/>
      <c r="V18" s="450"/>
      <c r="W18" s="450"/>
      <c r="X18" s="450"/>
      <c r="Y18" s="393"/>
      <c r="Z18" s="393"/>
      <c r="AA18" s="416"/>
      <c r="AB18" s="462"/>
      <c r="AC18" s="450"/>
      <c r="AD18" s="460"/>
      <c r="AE18" s="460"/>
      <c r="AF18" s="396"/>
      <c r="AG18" s="396"/>
      <c r="AH18" s="399"/>
      <c r="AI18" s="400"/>
      <c r="AJ18" s="400"/>
      <c r="AK18" s="401"/>
      <c r="AL18" s="401"/>
      <c r="AM18" s="402"/>
      <c r="AN18" s="450"/>
      <c r="AO18" s="467"/>
      <c r="AP18" s="396"/>
      <c r="AQ18" s="400"/>
      <c r="AR18" s="400"/>
      <c r="AS18" s="400"/>
      <c r="AT18" s="400"/>
      <c r="AU18" s="400"/>
      <c r="AV18" s="400"/>
      <c r="AW18" s="400"/>
      <c r="AX18" s="405"/>
      <c r="AY18" s="400"/>
      <c r="AZ18" s="406"/>
      <c r="BA18" s="407"/>
      <c r="BB18" s="411"/>
      <c r="BD18" s="410"/>
    </row>
    <row r="19" spans="1:56" s="409" customFormat="1" ht="22.5" customHeight="1">
      <c r="A19" s="393"/>
      <c r="B19" s="394"/>
      <c r="C19" s="449"/>
      <c r="D19" s="449"/>
      <c r="E19" s="450"/>
      <c r="F19" s="416"/>
      <c r="G19" s="397"/>
      <c r="H19" s="395"/>
      <c r="I19" s="396"/>
      <c r="J19" s="458"/>
      <c r="K19" s="450"/>
      <c r="L19" s="450"/>
      <c r="M19" s="450"/>
      <c r="N19" s="450"/>
      <c r="O19" s="450"/>
      <c r="P19" s="450"/>
      <c r="Q19" s="450"/>
      <c r="R19" s="450"/>
      <c r="S19" s="450"/>
      <c r="T19" s="450"/>
      <c r="U19" s="450"/>
      <c r="V19" s="450"/>
      <c r="W19" s="450"/>
      <c r="X19" s="450"/>
      <c r="Y19" s="393"/>
      <c r="Z19" s="393"/>
      <c r="AA19" s="393"/>
      <c r="AB19" s="462"/>
      <c r="AC19" s="460"/>
      <c r="AD19" s="460"/>
      <c r="AE19" s="460"/>
      <c r="AF19" s="396"/>
      <c r="AG19" s="396"/>
      <c r="AH19" s="399"/>
      <c r="AI19" s="400"/>
      <c r="AJ19" s="400"/>
      <c r="AK19" s="401"/>
      <c r="AL19" s="401"/>
      <c r="AM19" s="402"/>
      <c r="AN19" s="450"/>
      <c r="AO19" s="467"/>
      <c r="AP19" s="396"/>
      <c r="AQ19" s="400"/>
      <c r="AR19" s="400"/>
      <c r="AS19" s="400"/>
      <c r="AT19" s="400"/>
      <c r="AU19" s="400"/>
      <c r="AV19" s="400"/>
      <c r="AW19" s="400"/>
      <c r="AX19" s="405"/>
      <c r="AY19" s="400"/>
      <c r="AZ19" s="406"/>
      <c r="BA19" s="407"/>
      <c r="BB19" s="411"/>
      <c r="BD19" s="410"/>
    </row>
    <row r="20" spans="1:56" s="409" customFormat="1" ht="22.5" customHeight="1">
      <c r="A20" s="393"/>
      <c r="B20" s="394"/>
      <c r="C20" s="449"/>
      <c r="D20" s="449"/>
      <c r="E20" s="450"/>
      <c r="F20" s="416"/>
      <c r="G20" s="397"/>
      <c r="H20" s="395"/>
      <c r="I20" s="396"/>
      <c r="J20" s="458"/>
      <c r="K20" s="450"/>
      <c r="L20" s="450"/>
      <c r="M20" s="450"/>
      <c r="N20" s="450"/>
      <c r="O20" s="450"/>
      <c r="P20" s="450"/>
      <c r="Q20" s="450"/>
      <c r="R20" s="450"/>
      <c r="S20" s="450"/>
      <c r="T20" s="450"/>
      <c r="U20" s="450"/>
      <c r="V20" s="450"/>
      <c r="W20" s="450"/>
      <c r="X20" s="450"/>
      <c r="Y20" s="393"/>
      <c r="Z20" s="393"/>
      <c r="AA20" s="393"/>
      <c r="AB20" s="462"/>
      <c r="AC20" s="460"/>
      <c r="AD20" s="460"/>
      <c r="AE20" s="460"/>
      <c r="AF20" s="396"/>
      <c r="AG20" s="396"/>
      <c r="AH20" s="399"/>
      <c r="AI20" s="400"/>
      <c r="AJ20" s="400"/>
      <c r="AK20" s="401"/>
      <c r="AL20" s="401"/>
      <c r="AM20" s="402"/>
      <c r="AN20" s="450"/>
      <c r="AO20" s="467"/>
      <c r="AP20" s="396"/>
      <c r="AQ20" s="400"/>
      <c r="AR20" s="400"/>
      <c r="AS20" s="400"/>
      <c r="AT20" s="400"/>
      <c r="AU20" s="400"/>
      <c r="AV20" s="400"/>
      <c r="AW20" s="400"/>
      <c r="AX20" s="405"/>
      <c r="AY20" s="400"/>
      <c r="AZ20" s="406"/>
      <c r="BA20" s="407"/>
      <c r="BB20" s="411"/>
      <c r="BD20" s="410"/>
    </row>
    <row r="21" spans="1:56" s="409" customFormat="1" ht="22.5" customHeight="1">
      <c r="A21" s="393"/>
      <c r="B21" s="394"/>
      <c r="C21" s="449"/>
      <c r="D21" s="449"/>
      <c r="E21" s="450"/>
      <c r="F21" s="416"/>
      <c r="G21" s="397"/>
      <c r="H21" s="395"/>
      <c r="I21" s="396"/>
      <c r="J21" s="458"/>
      <c r="K21" s="450"/>
      <c r="L21" s="450"/>
      <c r="M21" s="450"/>
      <c r="N21" s="450"/>
      <c r="O21" s="450"/>
      <c r="P21" s="450"/>
      <c r="Q21" s="450"/>
      <c r="R21" s="450"/>
      <c r="S21" s="450"/>
      <c r="T21" s="450"/>
      <c r="U21" s="450"/>
      <c r="V21" s="450"/>
      <c r="W21" s="450"/>
      <c r="X21" s="450"/>
      <c r="Y21" s="393"/>
      <c r="Z21" s="393"/>
      <c r="AA21" s="416"/>
      <c r="AB21" s="462"/>
      <c r="AC21" s="460"/>
      <c r="AD21" s="460"/>
      <c r="AE21" s="460"/>
      <c r="AF21" s="396"/>
      <c r="AG21" s="396"/>
      <c r="AH21" s="399"/>
      <c r="AI21" s="400"/>
      <c r="AJ21" s="400"/>
      <c r="AK21" s="401"/>
      <c r="AL21" s="401"/>
      <c r="AM21" s="402"/>
      <c r="AN21" s="450"/>
      <c r="AO21" s="467"/>
      <c r="AP21" s="396"/>
      <c r="AQ21" s="400"/>
      <c r="AR21" s="400"/>
      <c r="AS21" s="400"/>
      <c r="AT21" s="400"/>
      <c r="AU21" s="400"/>
      <c r="AV21" s="400"/>
      <c r="AW21" s="400"/>
      <c r="AX21" s="405"/>
      <c r="AY21" s="400"/>
      <c r="AZ21" s="406"/>
      <c r="BA21" s="407"/>
      <c r="BB21" s="411"/>
      <c r="BD21" s="410"/>
    </row>
    <row r="22" spans="1:56" s="409" customFormat="1" ht="22.5" customHeight="1">
      <c r="A22" s="393"/>
      <c r="B22" s="414"/>
      <c r="C22" s="450"/>
      <c r="D22" s="450"/>
      <c r="E22" s="450"/>
      <c r="F22" s="393"/>
      <c r="G22" s="396"/>
      <c r="H22" s="393"/>
      <c r="I22" s="396"/>
      <c r="J22" s="458"/>
      <c r="K22" s="450"/>
      <c r="L22" s="450"/>
      <c r="M22" s="450"/>
      <c r="N22" s="450"/>
      <c r="O22" s="450"/>
      <c r="P22" s="458"/>
      <c r="Q22" s="458"/>
      <c r="R22" s="458"/>
      <c r="S22" s="458"/>
      <c r="T22" s="458"/>
      <c r="U22" s="458"/>
      <c r="V22" s="458"/>
      <c r="W22" s="450"/>
      <c r="X22" s="450"/>
      <c r="Y22" s="393"/>
      <c r="Z22" s="393"/>
      <c r="AA22" s="393"/>
      <c r="AB22" s="463"/>
      <c r="AC22" s="464"/>
      <c r="AD22" s="464"/>
      <c r="AE22" s="460"/>
      <c r="AF22" s="393"/>
      <c r="AG22" s="399"/>
      <c r="AH22" s="399"/>
      <c r="AI22" s="400"/>
      <c r="AJ22" s="400"/>
      <c r="AK22" s="401"/>
      <c r="AL22" s="401"/>
      <c r="AM22" s="402"/>
      <c r="AN22" s="450"/>
      <c r="AO22" s="450"/>
      <c r="AP22" s="396"/>
      <c r="AQ22" s="404"/>
      <c r="AR22" s="403"/>
      <c r="AS22" s="403"/>
      <c r="AT22" s="403"/>
      <c r="AU22" s="403"/>
      <c r="AV22" s="403"/>
      <c r="AW22" s="417"/>
      <c r="AX22" s="405"/>
      <c r="AY22" s="400"/>
      <c r="AZ22" s="418"/>
      <c r="BA22" s="411"/>
      <c r="BB22" s="411"/>
      <c r="BD22" s="410"/>
    </row>
    <row r="23" spans="1:56" s="409" customFormat="1" ht="22.5" customHeight="1">
      <c r="A23" s="393"/>
      <c r="B23" s="414"/>
      <c r="C23" s="450"/>
      <c r="D23" s="450"/>
      <c r="E23" s="450"/>
      <c r="F23" s="393"/>
      <c r="G23" s="396"/>
      <c r="H23" s="393"/>
      <c r="I23" s="396"/>
      <c r="J23" s="458"/>
      <c r="K23" s="450"/>
      <c r="L23" s="450"/>
      <c r="M23" s="450"/>
      <c r="N23" s="450"/>
      <c r="O23" s="450"/>
      <c r="P23" s="458"/>
      <c r="Q23" s="458"/>
      <c r="R23" s="458"/>
      <c r="S23" s="458"/>
      <c r="T23" s="458"/>
      <c r="U23" s="458"/>
      <c r="V23" s="458"/>
      <c r="W23" s="450"/>
      <c r="X23" s="450"/>
      <c r="Y23" s="393"/>
      <c r="Z23" s="393"/>
      <c r="AA23" s="393"/>
      <c r="AB23" s="463"/>
      <c r="AC23" s="464"/>
      <c r="AD23" s="464"/>
      <c r="AE23" s="460"/>
      <c r="AF23" s="393"/>
      <c r="AG23" s="399"/>
      <c r="AH23" s="399"/>
      <c r="AI23" s="400"/>
      <c r="AJ23" s="400"/>
      <c r="AK23" s="401"/>
      <c r="AL23" s="419"/>
      <c r="AM23" s="396"/>
      <c r="AN23" s="450"/>
      <c r="AO23" s="450"/>
      <c r="AP23" s="396"/>
      <c r="AQ23" s="404"/>
      <c r="AR23" s="403"/>
      <c r="AS23" s="403"/>
      <c r="AT23" s="403"/>
      <c r="AU23" s="403"/>
      <c r="AV23" s="403"/>
      <c r="AW23" s="407"/>
      <c r="AX23" s="407"/>
      <c r="AY23" s="407"/>
      <c r="AZ23" s="418"/>
      <c r="BA23" s="411"/>
      <c r="BB23" s="411"/>
    </row>
    <row r="24" spans="1:56" s="409" customFormat="1" ht="22.5" customHeight="1">
      <c r="A24" s="393"/>
      <c r="B24" s="420" t="s">
        <v>1020</v>
      </c>
      <c r="C24" s="450"/>
      <c r="D24" s="450"/>
      <c r="E24" s="450"/>
      <c r="F24" s="393"/>
      <c r="G24" s="396"/>
      <c r="H24" s="393"/>
      <c r="I24" s="396"/>
      <c r="J24" s="458"/>
      <c r="K24" s="450"/>
      <c r="L24" s="450"/>
      <c r="M24" s="450"/>
      <c r="N24" s="450"/>
      <c r="O24" s="450"/>
      <c r="P24" s="458"/>
      <c r="Q24" s="458"/>
      <c r="R24" s="458"/>
      <c r="S24" s="458"/>
      <c r="T24" s="458"/>
      <c r="U24" s="458"/>
      <c r="V24" s="458"/>
      <c r="W24" s="450"/>
      <c r="X24" s="450"/>
      <c r="Y24" s="393"/>
      <c r="Z24" s="393"/>
      <c r="AA24" s="393"/>
      <c r="AB24" s="463"/>
      <c r="AC24" s="464"/>
      <c r="AD24" s="464"/>
      <c r="AE24" s="460"/>
      <c r="AF24" s="393"/>
      <c r="AG24" s="399"/>
      <c r="AH24" s="399"/>
      <c r="AI24" s="399">
        <f>SUM(AI9:AI23)</f>
        <v>0</v>
      </c>
      <c r="AJ24" s="400"/>
      <c r="AK24" s="401"/>
      <c r="AL24" s="419"/>
      <c r="AM24" s="396"/>
      <c r="AN24" s="450"/>
      <c r="AO24" s="450"/>
      <c r="AP24" s="396"/>
      <c r="AQ24" s="400">
        <f>SUM(AQ9:AQ23)</f>
        <v>0</v>
      </c>
      <c r="AR24" s="400">
        <f>SUM(AR9:AR23)</f>
        <v>0</v>
      </c>
      <c r="AS24" s="400"/>
      <c r="AT24" s="400"/>
      <c r="AU24" s="400">
        <f>SUM(AU9:AU23)</f>
        <v>0</v>
      </c>
      <c r="AV24" s="400">
        <f>SUM(AV9:AV23)</f>
        <v>0</v>
      </c>
      <c r="AW24" s="400">
        <f>SUM(AW9:AW23)</f>
        <v>0</v>
      </c>
      <c r="AX24" s="400"/>
      <c r="AY24" s="400">
        <f>SUM(AY9:AY23)</f>
        <v>0</v>
      </c>
      <c r="AZ24" s="421" t="str">
        <f>IF(AV24=0,"",(AY24-AV24)/AV24*100)</f>
        <v/>
      </c>
      <c r="BA24" s="411"/>
      <c r="BB24" s="411"/>
    </row>
    <row r="25" spans="1:56">
      <c r="A25" s="446" t="e">
        <f>管道沟槽!A18</f>
        <v>#REF!</v>
      </c>
      <c r="AM25" s="423"/>
      <c r="AU25" s="446" t="s">
        <v>1023</v>
      </c>
    </row>
    <row r="26" spans="1:56">
      <c r="A26" s="446" t="e">
        <f>管道沟槽!A19</f>
        <v>#REF!</v>
      </c>
    </row>
  </sheetData>
  <autoFilter ref="A8:BL21"/>
  <mergeCells count="52">
    <mergeCell ref="A2:BB2"/>
    <mergeCell ref="A3:BB3"/>
    <mergeCell ref="AU5:AV7"/>
    <mergeCell ref="AW5:AY7"/>
    <mergeCell ref="AZ5:AZ8"/>
    <mergeCell ref="BA5:BA8"/>
    <mergeCell ref="BB5:BB8"/>
    <mergeCell ref="J6:J8"/>
    <mergeCell ref="K6:K8"/>
    <mergeCell ref="L6:L8"/>
    <mergeCell ref="M6:M8"/>
    <mergeCell ref="N6:N8"/>
    <mergeCell ref="AM5:AM8"/>
    <mergeCell ref="AN5:AN8"/>
    <mergeCell ref="AO5:AO8"/>
    <mergeCell ref="AP5:AP8"/>
    <mergeCell ref="V6:V7"/>
    <mergeCell ref="Y7:Y8"/>
    <mergeCell ref="Z7:Z8"/>
    <mergeCell ref="AA7:AA8"/>
    <mergeCell ref="AF5:AF8"/>
    <mergeCell ref="Y5:AA6"/>
    <mergeCell ref="AB5:AB8"/>
    <mergeCell ref="AC5:AC8"/>
    <mergeCell ref="AD5:AD8"/>
    <mergeCell ref="AE5:AE8"/>
    <mergeCell ref="W5:X6"/>
    <mergeCell ref="AQ5:AR7"/>
    <mergeCell ref="AS5:AT7"/>
    <mergeCell ref="AG5:AG8"/>
    <mergeCell ref="AH5:AH8"/>
    <mergeCell ref="AI5:AI8"/>
    <mergeCell ref="AJ5:AJ8"/>
    <mergeCell ref="AK5:AK8"/>
    <mergeCell ref="AL5:AL8"/>
    <mergeCell ref="Q6:Q8"/>
    <mergeCell ref="R6:S6"/>
    <mergeCell ref="T6:T7"/>
    <mergeCell ref="U6:U7"/>
    <mergeCell ref="I5:I8"/>
    <mergeCell ref="K5:L5"/>
    <mergeCell ref="M5:N5"/>
    <mergeCell ref="O5:P6"/>
    <mergeCell ref="Q5:U5"/>
    <mergeCell ref="G5:G8"/>
    <mergeCell ref="H5:H8"/>
    <mergeCell ref="A5:A8"/>
    <mergeCell ref="B5:B8"/>
    <mergeCell ref="C5:C8"/>
    <mergeCell ref="D5:D8"/>
    <mergeCell ref="E5:E8"/>
    <mergeCell ref="F5:F8"/>
  </mergeCells>
  <phoneticPr fontId="6" type="noConversion"/>
  <printOptions horizontalCentered="1"/>
  <pageMargins left="0.23622047244094491" right="0.19685039370078741" top="0.51181102362204722" bottom="0.55118110236220474" header="0.31496062992125984" footer="0.31496062992125984"/>
  <pageSetup paperSize="9" scale="80"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40"/>
  <sheetViews>
    <sheetView workbookViewId="0">
      <selection activeCell="H10" sqref="H10"/>
    </sheetView>
  </sheetViews>
  <sheetFormatPr defaultColWidth="7" defaultRowHeight="18" customHeight="1"/>
  <cols>
    <col min="1" max="1" width="21.375" style="240" bestFit="1" customWidth="1"/>
    <col min="2" max="2" width="4.5" style="241" bestFit="1" customWidth="1"/>
    <col min="3" max="4" width="17.125" style="238" bestFit="1" customWidth="1"/>
    <col min="5" max="5" width="8.375" style="240" bestFit="1" customWidth="1"/>
    <col min="6" max="6" width="23" style="240" bestFit="1" customWidth="1"/>
    <col min="7" max="7" width="4.625" style="241" bestFit="1" customWidth="1"/>
    <col min="8" max="9" width="20.5" style="238" bestFit="1" customWidth="1"/>
    <col min="10" max="10" width="15.625" style="240" bestFit="1" customWidth="1"/>
    <col min="11" max="16384" width="7" style="240"/>
  </cols>
  <sheetData>
    <row r="1" spans="1:10" s="236" customFormat="1" ht="18" customHeight="1">
      <c r="A1" s="234" t="s">
        <v>206</v>
      </c>
      <c r="B1" s="235"/>
      <c r="C1" s="235"/>
      <c r="D1" s="235"/>
      <c r="E1" s="235"/>
      <c r="F1" s="235"/>
      <c r="G1" s="235"/>
      <c r="H1" s="235"/>
      <c r="I1" s="235"/>
      <c r="J1" s="235"/>
    </row>
    <row r="2" spans="1:10" s="236" customFormat="1" ht="18" customHeight="1">
      <c r="A2" s="783" t="s">
        <v>200</v>
      </c>
      <c r="B2" s="784"/>
      <c r="C2" s="784"/>
      <c r="D2" s="784"/>
      <c r="E2" s="784"/>
      <c r="F2" s="784"/>
      <c r="G2" s="784"/>
      <c r="H2" s="784"/>
      <c r="I2" s="784"/>
      <c r="J2" s="784"/>
    </row>
    <row r="3" spans="1:10" s="237" customFormat="1" ht="18" customHeight="1">
      <c r="A3" s="785" t="e">
        <f>CONCATENATE(#REF!,#REF!,#REF!,#REF!,#REF!,#REF!)</f>
        <v>#REF!</v>
      </c>
      <c r="B3" s="785"/>
      <c r="C3" s="785"/>
      <c r="D3" s="785"/>
      <c r="E3" s="785"/>
      <c r="F3" s="785"/>
      <c r="G3" s="785"/>
      <c r="H3" s="785"/>
      <c r="I3" s="785"/>
      <c r="J3" s="785"/>
    </row>
    <row r="4" spans="1:10" ht="18" customHeight="1">
      <c r="A4" s="786" t="e">
        <f>"编制单位:"&amp;#REF!</f>
        <v>#REF!</v>
      </c>
      <c r="B4" s="787"/>
      <c r="C4" s="787"/>
      <c r="E4" s="239"/>
      <c r="J4" s="242" t="s">
        <v>201</v>
      </c>
    </row>
    <row r="5" spans="1:10" s="246" customFormat="1" ht="18" customHeight="1">
      <c r="A5" s="243" t="s">
        <v>192</v>
      </c>
      <c r="B5" s="243" t="s">
        <v>193</v>
      </c>
      <c r="C5" s="243" t="s">
        <v>194</v>
      </c>
      <c r="D5" s="243" t="s">
        <v>195</v>
      </c>
      <c r="E5" s="244" t="s">
        <v>202</v>
      </c>
      <c r="F5" s="245" t="s">
        <v>196</v>
      </c>
      <c r="G5" s="243" t="s">
        <v>193</v>
      </c>
      <c r="H5" s="243" t="s">
        <v>194</v>
      </c>
      <c r="I5" s="243" t="s">
        <v>195</v>
      </c>
      <c r="J5" s="243" t="s">
        <v>202</v>
      </c>
    </row>
    <row r="6" spans="1:10" ht="18" customHeight="1">
      <c r="A6" s="270" t="s">
        <v>683</v>
      </c>
      <c r="B6" s="247">
        <v>1</v>
      </c>
      <c r="C6" s="248"/>
      <c r="D6" s="248"/>
      <c r="E6" s="208"/>
      <c r="F6" s="249" t="s">
        <v>197</v>
      </c>
      <c r="G6" s="247">
        <v>34</v>
      </c>
      <c r="H6" s="250"/>
      <c r="I6" s="250"/>
      <c r="J6" s="85"/>
    </row>
    <row r="7" spans="1:10" ht="18" customHeight="1">
      <c r="A7" s="269" t="s">
        <v>115</v>
      </c>
      <c r="B7" s="247">
        <v>2</v>
      </c>
      <c r="C7" s="252"/>
      <c r="D7" s="252"/>
      <c r="E7" s="208"/>
      <c r="F7" s="269" t="s">
        <v>90</v>
      </c>
      <c r="G7" s="247">
        <v>35</v>
      </c>
      <c r="H7" s="252"/>
      <c r="I7" s="252"/>
      <c r="J7" s="85"/>
    </row>
    <row r="8" spans="1:10" ht="18" customHeight="1">
      <c r="A8" s="269" t="s">
        <v>428</v>
      </c>
      <c r="B8" s="247">
        <v>3</v>
      </c>
      <c r="C8" s="252"/>
      <c r="D8" s="252"/>
      <c r="E8" s="208"/>
      <c r="F8" s="269" t="s">
        <v>450</v>
      </c>
      <c r="G8" s="247">
        <v>36</v>
      </c>
      <c r="H8" s="252"/>
      <c r="I8" s="252"/>
      <c r="J8" s="85"/>
    </row>
    <row r="9" spans="1:10" ht="18" customHeight="1">
      <c r="A9" s="269" t="s">
        <v>94</v>
      </c>
      <c r="B9" s="247">
        <v>4</v>
      </c>
      <c r="C9" s="252"/>
      <c r="D9" s="252"/>
      <c r="E9" s="208"/>
      <c r="F9" s="269" t="s">
        <v>92</v>
      </c>
      <c r="G9" s="247">
        <v>37</v>
      </c>
      <c r="H9" s="252"/>
      <c r="I9" s="252"/>
      <c r="J9" s="85"/>
    </row>
    <row r="10" spans="1:10" ht="18" customHeight="1">
      <c r="A10" s="269" t="s">
        <v>344</v>
      </c>
      <c r="B10" s="247">
        <v>5</v>
      </c>
      <c r="C10" s="252"/>
      <c r="D10" s="252"/>
      <c r="E10" s="208"/>
      <c r="F10" s="269" t="s">
        <v>340</v>
      </c>
      <c r="G10" s="247">
        <v>38</v>
      </c>
      <c r="H10" s="252"/>
      <c r="I10" s="252"/>
      <c r="J10" s="85"/>
    </row>
    <row r="11" spans="1:10" ht="18" customHeight="1">
      <c r="A11" s="269" t="s">
        <v>671</v>
      </c>
      <c r="B11" s="247">
        <v>6</v>
      </c>
      <c r="C11" s="252"/>
      <c r="D11" s="252"/>
      <c r="E11" s="208"/>
      <c r="F11" s="269" t="s">
        <v>451</v>
      </c>
      <c r="G11" s="247">
        <v>39</v>
      </c>
      <c r="H11" s="252"/>
      <c r="I11" s="252"/>
      <c r="J11" s="85"/>
    </row>
    <row r="12" spans="1:10" ht="18" customHeight="1">
      <c r="A12" s="269" t="s">
        <v>461</v>
      </c>
      <c r="B12" s="247">
        <v>7</v>
      </c>
      <c r="C12" s="252"/>
      <c r="D12" s="252"/>
      <c r="E12" s="208"/>
      <c r="F12" s="269" t="s">
        <v>452</v>
      </c>
      <c r="G12" s="247">
        <v>40</v>
      </c>
      <c r="H12" s="252"/>
      <c r="I12" s="252"/>
      <c r="J12" s="85"/>
    </row>
    <row r="13" spans="1:10" ht="18" customHeight="1">
      <c r="A13" s="269" t="s">
        <v>95</v>
      </c>
      <c r="B13" s="247">
        <v>8</v>
      </c>
      <c r="C13" s="250"/>
      <c r="D13" s="250"/>
      <c r="E13" s="208"/>
      <c r="F13" s="269" t="s">
        <v>606</v>
      </c>
      <c r="G13" s="247">
        <v>41</v>
      </c>
      <c r="H13" s="252"/>
      <c r="I13" s="252"/>
      <c r="J13" s="85"/>
    </row>
    <row r="14" spans="1:10" ht="18" customHeight="1">
      <c r="A14" s="269" t="s">
        <v>96</v>
      </c>
      <c r="B14" s="247">
        <v>9</v>
      </c>
      <c r="C14" s="250"/>
      <c r="D14" s="250"/>
      <c r="E14" s="208"/>
      <c r="F14" s="269" t="s">
        <v>607</v>
      </c>
      <c r="G14" s="247">
        <v>42</v>
      </c>
      <c r="H14" s="252"/>
      <c r="I14" s="252"/>
      <c r="J14" s="85"/>
    </row>
    <row r="15" spans="1:10" ht="18" customHeight="1">
      <c r="A15" s="269" t="s">
        <v>118</v>
      </c>
      <c r="B15" s="247">
        <v>10</v>
      </c>
      <c r="C15" s="250"/>
      <c r="D15" s="250"/>
      <c r="E15" s="208"/>
      <c r="F15" s="269" t="s">
        <v>675</v>
      </c>
      <c r="G15" s="247">
        <v>43</v>
      </c>
      <c r="H15" s="252"/>
      <c r="I15" s="252"/>
      <c r="J15" s="85"/>
    </row>
    <row r="16" spans="1:10" ht="18" customHeight="1">
      <c r="A16" s="269" t="s">
        <v>431</v>
      </c>
      <c r="B16" s="247">
        <v>11</v>
      </c>
      <c r="C16" s="250"/>
      <c r="D16" s="250"/>
      <c r="E16" s="208"/>
      <c r="F16" s="269" t="s">
        <v>608</v>
      </c>
      <c r="G16" s="247">
        <v>44</v>
      </c>
      <c r="H16" s="252"/>
      <c r="I16" s="252"/>
      <c r="J16" s="85"/>
    </row>
    <row r="17" spans="1:10" ht="18" customHeight="1">
      <c r="A17" s="269" t="s">
        <v>462</v>
      </c>
      <c r="B17" s="247">
        <v>12</v>
      </c>
      <c r="C17" s="250"/>
      <c r="D17" s="250"/>
      <c r="E17" s="208"/>
      <c r="F17" s="269" t="s">
        <v>609</v>
      </c>
      <c r="G17" s="247">
        <v>45</v>
      </c>
      <c r="H17" s="252"/>
      <c r="I17" s="252"/>
      <c r="J17" s="85"/>
    </row>
    <row r="18" spans="1:10" ht="18" customHeight="1">
      <c r="A18" s="254" t="s">
        <v>412</v>
      </c>
      <c r="B18" s="247">
        <v>13</v>
      </c>
      <c r="C18" s="250">
        <f>SUM(C7:C17)</f>
        <v>0</v>
      </c>
      <c r="D18" s="250">
        <f>SUM(D7:D17)</f>
        <v>0</v>
      </c>
      <c r="E18" s="208"/>
      <c r="F18" s="269" t="s">
        <v>610</v>
      </c>
      <c r="G18" s="247">
        <v>46</v>
      </c>
      <c r="H18" s="252"/>
      <c r="I18" s="252"/>
      <c r="J18" s="85"/>
    </row>
    <row r="19" spans="1:10" ht="18" customHeight="1">
      <c r="A19" s="251" t="s">
        <v>672</v>
      </c>
      <c r="B19" s="247">
        <v>14</v>
      </c>
      <c r="C19" s="252"/>
      <c r="D19" s="252"/>
      <c r="E19" s="208"/>
      <c r="F19" s="255" t="s">
        <v>682</v>
      </c>
      <c r="G19" s="247">
        <v>47</v>
      </c>
      <c r="H19" s="252">
        <f>SUM(H7:H18)</f>
        <v>0</v>
      </c>
      <c r="I19" s="252">
        <f>SUM(I7:I18)</f>
        <v>0</v>
      </c>
      <c r="J19" s="85"/>
    </row>
    <row r="20" spans="1:10" ht="18" customHeight="1">
      <c r="A20" s="269" t="s">
        <v>665</v>
      </c>
      <c r="B20" s="247">
        <v>15</v>
      </c>
      <c r="C20" s="250"/>
      <c r="D20" s="250"/>
      <c r="E20" s="208"/>
      <c r="F20" s="253" t="s">
        <v>676</v>
      </c>
      <c r="G20" s="247">
        <v>48</v>
      </c>
      <c r="H20" s="252"/>
      <c r="I20" s="252"/>
      <c r="J20" s="85"/>
    </row>
    <row r="21" spans="1:10" ht="18" customHeight="1">
      <c r="A21" s="269" t="s">
        <v>666</v>
      </c>
      <c r="B21" s="247">
        <v>16</v>
      </c>
      <c r="C21" s="250"/>
      <c r="D21" s="250"/>
      <c r="E21" s="208"/>
      <c r="F21" s="269" t="s">
        <v>101</v>
      </c>
      <c r="G21" s="247">
        <v>49</v>
      </c>
      <c r="H21" s="252"/>
      <c r="I21" s="252"/>
      <c r="J21" s="85"/>
    </row>
    <row r="22" spans="1:10" ht="18" customHeight="1">
      <c r="A22" s="269" t="s">
        <v>435</v>
      </c>
      <c r="B22" s="247">
        <v>17</v>
      </c>
      <c r="C22" s="250"/>
      <c r="D22" s="250"/>
      <c r="E22" s="208"/>
      <c r="F22" s="269" t="s">
        <v>647</v>
      </c>
      <c r="G22" s="247">
        <v>50</v>
      </c>
      <c r="H22" s="252"/>
      <c r="I22" s="252"/>
      <c r="J22" s="85"/>
    </row>
    <row r="23" spans="1:10" ht="18" customHeight="1">
      <c r="A23" s="269" t="s">
        <v>667</v>
      </c>
      <c r="B23" s="247">
        <v>18</v>
      </c>
      <c r="C23" s="250"/>
      <c r="D23" s="250"/>
      <c r="E23" s="208"/>
      <c r="F23" s="269" t="s">
        <v>102</v>
      </c>
      <c r="G23" s="247">
        <v>51</v>
      </c>
      <c r="H23" s="252"/>
      <c r="I23" s="252"/>
      <c r="J23" s="85"/>
    </row>
    <row r="24" spans="1:10" ht="18" customHeight="1">
      <c r="A24" s="269" t="s">
        <v>668</v>
      </c>
      <c r="B24" s="247">
        <v>19</v>
      </c>
      <c r="C24" s="250"/>
      <c r="D24" s="250"/>
      <c r="E24" s="208"/>
      <c r="F24" s="269" t="s">
        <v>648</v>
      </c>
      <c r="G24" s="247">
        <v>52</v>
      </c>
      <c r="H24" s="252"/>
      <c r="I24" s="252"/>
      <c r="J24" s="85"/>
    </row>
    <row r="25" spans="1:10" ht="18" customHeight="1">
      <c r="A25" s="269" t="s">
        <v>120</v>
      </c>
      <c r="B25" s="247">
        <v>20</v>
      </c>
      <c r="C25" s="250"/>
      <c r="D25" s="250"/>
      <c r="E25" s="208"/>
      <c r="F25" s="269" t="s">
        <v>649</v>
      </c>
      <c r="G25" s="247">
        <v>53</v>
      </c>
      <c r="H25" s="252"/>
      <c r="I25" s="252"/>
      <c r="J25" s="85"/>
    </row>
    <row r="26" spans="1:10" ht="18" customHeight="1">
      <c r="A26" s="269" t="s">
        <v>673</v>
      </c>
      <c r="B26" s="247">
        <v>21</v>
      </c>
      <c r="C26" s="250"/>
      <c r="D26" s="250"/>
      <c r="E26" s="208"/>
      <c r="F26" s="269" t="s">
        <v>650</v>
      </c>
      <c r="G26" s="247">
        <v>54</v>
      </c>
      <c r="H26" s="250"/>
      <c r="I26" s="250"/>
      <c r="J26" s="256"/>
    </row>
    <row r="27" spans="1:10" ht="18" customHeight="1">
      <c r="A27" s="269" t="s">
        <v>103</v>
      </c>
      <c r="B27" s="247">
        <v>22</v>
      </c>
      <c r="C27" s="250"/>
      <c r="D27" s="250"/>
      <c r="E27" s="208"/>
      <c r="F27" s="269" t="s">
        <v>651</v>
      </c>
      <c r="G27" s="247">
        <v>55</v>
      </c>
      <c r="H27" s="250"/>
      <c r="I27" s="250"/>
      <c r="J27" s="85"/>
    </row>
    <row r="28" spans="1:10" ht="18" customHeight="1">
      <c r="A28" s="269" t="s">
        <v>104</v>
      </c>
      <c r="B28" s="247">
        <v>23</v>
      </c>
      <c r="C28" s="250"/>
      <c r="D28" s="250"/>
      <c r="E28" s="208"/>
      <c r="F28" s="255" t="s">
        <v>645</v>
      </c>
      <c r="G28" s="247">
        <v>56</v>
      </c>
      <c r="H28" s="252">
        <f>SUM(H21:H27)</f>
        <v>0</v>
      </c>
      <c r="I28" s="252">
        <f>SUM(I21:I27)</f>
        <v>0</v>
      </c>
      <c r="J28" s="85"/>
    </row>
    <row r="29" spans="1:10" ht="18" customHeight="1">
      <c r="A29" s="269" t="s">
        <v>441</v>
      </c>
      <c r="B29" s="247">
        <v>24</v>
      </c>
      <c r="C29" s="250"/>
      <c r="D29" s="250"/>
      <c r="E29" s="208"/>
      <c r="F29" s="257" t="s">
        <v>684</v>
      </c>
      <c r="G29" s="274">
        <v>57</v>
      </c>
      <c r="H29" s="258">
        <f>H19+H28</f>
        <v>0</v>
      </c>
      <c r="I29" s="258">
        <f>I19+I28</f>
        <v>0</v>
      </c>
      <c r="J29" s="259"/>
    </row>
    <row r="30" spans="1:10" ht="18" customHeight="1">
      <c r="A30" s="269" t="s">
        <v>442</v>
      </c>
      <c r="B30" s="247">
        <v>25</v>
      </c>
      <c r="C30" s="250"/>
      <c r="D30" s="250"/>
      <c r="E30" s="208"/>
      <c r="F30" s="249" t="s">
        <v>198</v>
      </c>
      <c r="G30" s="247">
        <v>58</v>
      </c>
      <c r="H30" s="250"/>
      <c r="I30" s="250"/>
      <c r="J30" s="85"/>
    </row>
    <row r="31" spans="1:10" ht="18" customHeight="1">
      <c r="A31" s="269" t="s">
        <v>443</v>
      </c>
      <c r="B31" s="247">
        <v>26</v>
      </c>
      <c r="C31" s="250"/>
      <c r="D31" s="250"/>
      <c r="E31" s="208"/>
      <c r="F31" s="269" t="s">
        <v>155</v>
      </c>
      <c r="G31" s="247">
        <v>59</v>
      </c>
      <c r="H31" s="252"/>
      <c r="I31" s="252"/>
      <c r="J31" s="85"/>
    </row>
    <row r="32" spans="1:10" ht="18" customHeight="1">
      <c r="A32" s="269" t="s">
        <v>444</v>
      </c>
      <c r="B32" s="247">
        <v>27</v>
      </c>
      <c r="C32" s="250"/>
      <c r="D32" s="250"/>
      <c r="E32" s="208"/>
      <c r="F32" s="269" t="s">
        <v>678</v>
      </c>
      <c r="G32" s="247">
        <v>60</v>
      </c>
      <c r="H32" s="252"/>
      <c r="I32" s="252"/>
      <c r="J32" s="85"/>
    </row>
    <row r="33" spans="1:10" ht="18" customHeight="1">
      <c r="A33" s="269" t="s">
        <v>445</v>
      </c>
      <c r="B33" s="247">
        <v>28</v>
      </c>
      <c r="C33" s="250"/>
      <c r="D33" s="250"/>
      <c r="E33" s="208"/>
      <c r="F33" s="269" t="s">
        <v>677</v>
      </c>
      <c r="G33" s="247">
        <v>61</v>
      </c>
      <c r="J33" s="85"/>
    </row>
    <row r="34" spans="1:10" ht="18" customHeight="1">
      <c r="A34" s="269" t="s">
        <v>129</v>
      </c>
      <c r="B34" s="247">
        <v>29</v>
      </c>
      <c r="C34" s="250"/>
      <c r="D34" s="250"/>
      <c r="E34" s="208"/>
      <c r="F34" s="269" t="s">
        <v>679</v>
      </c>
      <c r="G34" s="247">
        <v>62</v>
      </c>
      <c r="H34" s="250"/>
      <c r="I34" s="250"/>
      <c r="J34" s="85"/>
    </row>
    <row r="35" spans="1:10" ht="18" customHeight="1">
      <c r="A35" s="269" t="s">
        <v>446</v>
      </c>
      <c r="B35" s="247">
        <v>30</v>
      </c>
      <c r="C35" s="250"/>
      <c r="D35" s="250"/>
      <c r="E35" s="208"/>
      <c r="F35" s="269" t="s">
        <v>680</v>
      </c>
      <c r="G35" s="247">
        <v>63</v>
      </c>
      <c r="H35" s="252"/>
      <c r="I35" s="252"/>
      <c r="J35" s="85"/>
    </row>
    <row r="36" spans="1:10" ht="18" customHeight="1">
      <c r="A36" s="269" t="s">
        <v>447</v>
      </c>
      <c r="B36" s="247">
        <v>31</v>
      </c>
      <c r="C36" s="250"/>
      <c r="D36" s="250"/>
      <c r="E36" s="208"/>
      <c r="F36" s="271" t="s">
        <v>203</v>
      </c>
      <c r="G36" s="274">
        <v>64</v>
      </c>
      <c r="H36" s="260">
        <f>SUM(H31,H32,H34,H35)</f>
        <v>0</v>
      </c>
      <c r="I36" s="260">
        <f>SUM(I31,I32,I34,I35)</f>
        <v>0</v>
      </c>
      <c r="J36" s="85"/>
    </row>
    <row r="37" spans="1:10" ht="18" customHeight="1">
      <c r="A37" s="254" t="s">
        <v>674</v>
      </c>
      <c r="B37" s="247">
        <v>32</v>
      </c>
      <c r="C37" s="250">
        <f>SUM(C20:C36)</f>
        <v>0</v>
      </c>
      <c r="D37" s="250">
        <f>SUM(D20:D36)</f>
        <v>0</v>
      </c>
      <c r="E37" s="208"/>
      <c r="J37" s="261"/>
    </row>
    <row r="38" spans="1:10" ht="18" customHeight="1">
      <c r="A38" s="262" t="s">
        <v>681</v>
      </c>
      <c r="B38" s="273">
        <v>33</v>
      </c>
      <c r="C38" s="263">
        <f>SUM(C37,C18)</f>
        <v>0</v>
      </c>
      <c r="D38" s="263">
        <f>SUM(D37,D18)</f>
        <v>0</v>
      </c>
      <c r="E38" s="264"/>
      <c r="F38" s="271" t="s">
        <v>413</v>
      </c>
      <c r="G38" s="274">
        <v>65</v>
      </c>
      <c r="H38" s="260">
        <f>H29+H36</f>
        <v>0</v>
      </c>
      <c r="I38" s="260">
        <f>I29+I36</f>
        <v>0</v>
      </c>
      <c r="J38" s="261"/>
    </row>
    <row r="39" spans="1:10" ht="18" customHeight="1">
      <c r="A39" s="265"/>
      <c r="B39" s="247"/>
      <c r="C39" s="250"/>
      <c r="D39" s="250"/>
      <c r="E39" s="208"/>
      <c r="F39" s="249" t="s">
        <v>199</v>
      </c>
      <c r="G39" s="247">
        <v>66</v>
      </c>
      <c r="H39" s="382">
        <f>H38-C38</f>
        <v>0</v>
      </c>
      <c r="I39" s="382">
        <f>I38-D38</f>
        <v>0</v>
      </c>
      <c r="J39" s="85"/>
    </row>
    <row r="40" spans="1:10" ht="18" customHeight="1">
      <c r="C40" s="266" t="s">
        <v>208</v>
      </c>
      <c r="D40" s="240"/>
      <c r="E40" s="267" t="s">
        <v>204</v>
      </c>
      <c r="F40" s="240" t="str">
        <f>IF(基本情况!I8="","",基本情况!I8)</f>
        <v/>
      </c>
      <c r="H40" s="268" t="s">
        <v>205</v>
      </c>
      <c r="I40" s="240" t="str">
        <f>IF(基本情况!I5="","",基本情况!I5)</f>
        <v/>
      </c>
    </row>
  </sheetData>
  <sheetProtection formatCells="0" formatRows="0" insertRows="0" deleteRows="0" sort="0" autoFilter="0" pivotTables="0"/>
  <mergeCells count="3">
    <mergeCell ref="A2:J2"/>
    <mergeCell ref="A3:J3"/>
    <mergeCell ref="A4:C4"/>
  </mergeCells>
  <phoneticPr fontId="6" type="noConversion"/>
  <hyperlinks>
    <hyperlink ref="A1" location="索引目录!C4" display="负债表"/>
  </hyperlinks>
  <printOptions horizontalCentered="1"/>
  <pageMargins left="1.1023622047244095" right="0.43307086614173229" top="0.39370078740157483" bottom="0.19685039370078741" header="0.51181102362204722" footer="0.51181102362204722"/>
  <pageSetup paperSize="9" scale="78"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rgb="FFFF0000"/>
    <pageSetUpPr fitToPage="1"/>
  </sheetPr>
  <dimension ref="A1:AU626"/>
  <sheetViews>
    <sheetView tabSelected="1" zoomScaleNormal="100" workbookViewId="0">
      <pane xSplit="5" ySplit="6" topLeftCell="F435" activePane="bottomRight" state="frozen"/>
      <selection pane="topRight" activeCell="F1" sqref="F1"/>
      <selection pane="bottomLeft" activeCell="A7" sqref="A7"/>
      <selection pane="bottomRight" activeCell="H7" sqref="H7:H506"/>
    </sheetView>
  </sheetViews>
  <sheetFormatPr defaultRowHeight="15.75" customHeight="1" outlineLevelRow="1" outlineLevelCol="2"/>
  <cols>
    <col min="1" max="1" width="4.5" style="4" customWidth="1"/>
    <col min="2" max="2" width="7.875" style="4" hidden="1" customWidth="1" outlineLevel="1"/>
    <col min="3" max="3" width="19.375" style="4" customWidth="1" collapsed="1"/>
    <col min="4" max="4" width="17.875" style="4" customWidth="1"/>
    <col min="5" max="5" width="6.125" style="4" hidden="1" customWidth="1" outlineLevel="1"/>
    <col min="6" max="6" width="14.375" style="4" customWidth="1" collapsed="1"/>
    <col min="7" max="7" width="5.125" style="4" customWidth="1"/>
    <col min="8" max="8" width="4.75" style="4" customWidth="1"/>
    <col min="9" max="9" width="8.125" style="4" customWidth="1" outlineLevel="1"/>
    <col min="10" max="10" width="8.125" style="4" customWidth="1"/>
    <col min="11" max="12" width="11" style="4" hidden="1" customWidth="1" outlineLevel="1"/>
    <col min="13" max="15" width="5.5" style="4" hidden="1" customWidth="1" outlineLevel="1"/>
    <col min="16" max="16" width="10.625" style="4" customWidth="1" collapsed="1"/>
    <col min="17" max="17" width="10.125" style="4" customWidth="1" outlineLevel="1"/>
    <col min="18" max="18" width="10.625" style="4" customWidth="1" outlineLevel="1"/>
    <col min="19" max="19" width="5.375" style="4" customWidth="1" outlineLevel="1"/>
    <col min="20" max="20" width="5.375" style="4" hidden="1" customWidth="1" outlineLevel="2"/>
    <col min="21" max="21" width="10.625" style="4" customWidth="1" outlineLevel="1" collapsed="1"/>
    <col min="22" max="22" width="6.5" style="4" customWidth="1" outlineLevel="1"/>
    <col min="23" max="23" width="6.5" style="4" customWidth="1"/>
    <col min="24" max="24" width="12.625" style="4" customWidth="1"/>
    <col min="25" max="25" width="8.375" style="4" customWidth="1"/>
    <col min="26" max="26" width="8.5" style="4" customWidth="1"/>
    <col min="27" max="27" width="10.625" style="4" customWidth="1"/>
    <col min="28" max="28" width="5" style="4" hidden="1" customWidth="1" outlineLevel="1"/>
    <col min="29" max="29" width="9" style="4" hidden="1" customWidth="1" outlineLevel="1"/>
    <col min="30" max="30" width="4.625" style="116" hidden="1" customWidth="1" outlineLevel="1"/>
    <col min="31" max="31" width="9" style="4" hidden="1" customWidth="1" outlineLevel="1"/>
    <col min="32" max="33" width="10.25" style="4" hidden="1" customWidth="1" outlineLevel="1"/>
    <col min="34" max="34" width="11" style="4" hidden="1" customWidth="1" outlineLevel="1"/>
    <col min="35" max="35" width="9" style="4" hidden="1" customWidth="1" outlineLevel="1"/>
    <col min="36" max="36" width="9.125" style="4" customWidth="1" collapsed="1"/>
    <col min="37" max="37" width="10" style="4" customWidth="1"/>
    <col min="38" max="38" width="4.75" style="116" customWidth="1" outlineLevel="1"/>
    <col min="39" max="39" width="8.625" style="4" customWidth="1" outlineLevel="1"/>
    <col min="40" max="40" width="6" style="4" customWidth="1" outlineLevel="1"/>
    <col min="41" max="41" width="5" style="4" customWidth="1" outlineLevel="1"/>
    <col min="42" max="42" width="4.875" style="4" customWidth="1" outlineLevel="1"/>
    <col min="43" max="43" width="6.125" style="4" customWidth="1"/>
    <col min="44" max="16384" width="9" style="4"/>
  </cols>
  <sheetData>
    <row r="1" spans="1:47" ht="9" customHeight="1">
      <c r="A1" s="491" t="s">
        <v>130</v>
      </c>
      <c r="B1" s="492" t="s">
        <v>131</v>
      </c>
      <c r="C1" s="1"/>
      <c r="D1" s="1"/>
      <c r="E1" s="1"/>
      <c r="F1" s="1"/>
      <c r="G1" s="1"/>
      <c r="H1" s="1"/>
      <c r="I1" s="1"/>
      <c r="J1" s="1"/>
      <c r="K1" s="1"/>
      <c r="L1" s="1"/>
      <c r="M1" s="1"/>
      <c r="N1" s="1"/>
      <c r="O1" s="1"/>
      <c r="P1" s="1"/>
      <c r="Q1" s="1"/>
      <c r="R1" s="1"/>
      <c r="S1" s="1"/>
      <c r="T1" s="1"/>
      <c r="U1" s="1"/>
      <c r="V1" s="1"/>
      <c r="W1" s="1"/>
      <c r="AG1" s="116"/>
    </row>
    <row r="2" spans="1:47" s="114" customFormat="1" ht="27" customHeight="1">
      <c r="A2" s="791" t="s">
        <v>1055</v>
      </c>
      <c r="B2" s="791"/>
      <c r="C2" s="791"/>
      <c r="D2" s="791"/>
      <c r="E2" s="791"/>
      <c r="F2" s="791"/>
      <c r="G2" s="791"/>
      <c r="H2" s="791"/>
      <c r="I2" s="791"/>
      <c r="J2" s="791"/>
      <c r="K2" s="791"/>
      <c r="L2" s="791"/>
      <c r="M2" s="791"/>
      <c r="N2" s="791"/>
      <c r="O2" s="791"/>
      <c r="P2" s="791"/>
      <c r="Q2" s="791"/>
      <c r="R2" s="791"/>
      <c r="S2" s="791"/>
      <c r="T2" s="791"/>
      <c r="U2" s="791"/>
      <c r="V2" s="791"/>
      <c r="W2" s="791"/>
      <c r="X2" s="4" t="s">
        <v>1983</v>
      </c>
      <c r="AD2" s="602"/>
      <c r="AH2" s="577"/>
      <c r="AI2" s="470"/>
      <c r="AJ2" s="470"/>
      <c r="AL2" s="602"/>
    </row>
    <row r="3" spans="1:47" ht="18" customHeight="1">
      <c r="A3" s="792" t="e">
        <f>CONCATENATE(#REF!,#REF!,#REF!,#REF!,#REF!,#REF!,#REF!)</f>
        <v>#REF!</v>
      </c>
      <c r="B3" s="792"/>
      <c r="C3" s="792"/>
      <c r="D3" s="792"/>
      <c r="E3" s="792"/>
      <c r="F3" s="792"/>
      <c r="G3" s="792"/>
      <c r="H3" s="792"/>
      <c r="I3" s="808"/>
      <c r="J3" s="808"/>
      <c r="K3" s="808"/>
      <c r="L3" s="808"/>
      <c r="M3" s="808"/>
      <c r="N3" s="808"/>
      <c r="O3" s="808"/>
      <c r="P3" s="808"/>
      <c r="Q3" s="808"/>
      <c r="R3" s="808"/>
      <c r="S3" s="808"/>
      <c r="T3" s="808"/>
      <c r="U3" s="808"/>
      <c r="V3" s="808"/>
      <c r="W3" s="808"/>
      <c r="X3" s="4" t="s">
        <v>1981</v>
      </c>
      <c r="Z3" s="116" t="s">
        <v>1986</v>
      </c>
      <c r="AF3" s="116" t="s">
        <v>1430</v>
      </c>
      <c r="AG3" s="116" t="s">
        <v>1431</v>
      </c>
      <c r="AH3" s="578">
        <v>42301</v>
      </c>
      <c r="AI3" s="470">
        <v>4.3499999999999997E-2</v>
      </c>
      <c r="AJ3" s="470" t="s">
        <v>1432</v>
      </c>
      <c r="AM3" s="116" t="s">
        <v>1433</v>
      </c>
    </row>
    <row r="4" spans="1:47" ht="15.75" customHeight="1">
      <c r="A4" s="115" t="e">
        <f>#REF!&amp;#REF!</f>
        <v>#REF!</v>
      </c>
      <c r="R4" s="469"/>
      <c r="U4" s="484"/>
      <c r="W4" s="130" t="s">
        <v>528</v>
      </c>
      <c r="Y4" s="106" t="s">
        <v>2320</v>
      </c>
      <c r="Z4" s="631">
        <v>1300</v>
      </c>
      <c r="AF4" s="598">
        <v>0</v>
      </c>
      <c r="AG4" s="598">
        <v>0</v>
      </c>
      <c r="AI4" s="116">
        <v>0</v>
      </c>
      <c r="AJ4" s="116"/>
      <c r="AM4" s="665">
        <v>43069</v>
      </c>
      <c r="AP4" s="631">
        <v>0.35</v>
      </c>
    </row>
    <row r="5" spans="1:47" s="1" customFormat="1" ht="21.75" customHeight="1">
      <c r="A5" s="816" t="s">
        <v>371</v>
      </c>
      <c r="B5" s="971" t="s">
        <v>1434</v>
      </c>
      <c r="C5" s="838" t="s">
        <v>1435</v>
      </c>
      <c r="D5" s="969" t="s">
        <v>1436</v>
      </c>
      <c r="E5" s="977" t="s">
        <v>1437</v>
      </c>
      <c r="F5" s="969" t="s">
        <v>1438</v>
      </c>
      <c r="G5" s="969" t="s">
        <v>1439</v>
      </c>
      <c r="H5" s="969" t="s">
        <v>87</v>
      </c>
      <c r="I5" s="969" t="s">
        <v>577</v>
      </c>
      <c r="J5" s="969" t="s">
        <v>269</v>
      </c>
      <c r="K5" s="974" t="s">
        <v>426</v>
      </c>
      <c r="L5" s="976"/>
      <c r="M5" s="975"/>
      <c r="N5" s="974" t="s">
        <v>1440</v>
      </c>
      <c r="O5" s="975"/>
      <c r="P5" s="969" t="s">
        <v>315</v>
      </c>
      <c r="Q5" s="969"/>
      <c r="R5" s="838" t="s">
        <v>1441</v>
      </c>
      <c r="S5" s="838"/>
      <c r="T5" s="838"/>
      <c r="U5" s="838"/>
      <c r="V5" s="838" t="s">
        <v>1442</v>
      </c>
      <c r="W5" s="838" t="s">
        <v>1443</v>
      </c>
      <c r="X5" s="973" t="s">
        <v>1444</v>
      </c>
      <c r="Y5" s="670" t="s">
        <v>1988</v>
      </c>
      <c r="Z5" s="972" t="s">
        <v>1025</v>
      </c>
      <c r="AA5" s="972"/>
      <c r="AB5" s="972"/>
      <c r="AC5" s="972"/>
      <c r="AD5" s="972"/>
      <c r="AE5" s="972"/>
      <c r="AF5" s="972"/>
      <c r="AG5" s="972"/>
      <c r="AH5" s="972"/>
      <c r="AI5" s="972"/>
      <c r="AJ5" s="972"/>
      <c r="AK5" s="972"/>
      <c r="AL5" s="838" t="s">
        <v>1027</v>
      </c>
      <c r="AM5" s="967" t="s">
        <v>1028</v>
      </c>
      <c r="AN5" s="967" t="s">
        <v>1029</v>
      </c>
      <c r="AO5" s="966" t="s">
        <v>2304</v>
      </c>
      <c r="AP5" s="966" t="s">
        <v>2303</v>
      </c>
    </row>
    <row r="6" spans="1:47" s="116" customFormat="1" ht="24" customHeight="1">
      <c r="A6" s="816"/>
      <c r="B6" s="818"/>
      <c r="C6" s="816"/>
      <c r="D6" s="970"/>
      <c r="E6" s="978"/>
      <c r="F6" s="970"/>
      <c r="G6" s="970"/>
      <c r="H6" s="970"/>
      <c r="I6" s="970"/>
      <c r="J6" s="970"/>
      <c r="K6" s="579" t="s">
        <v>2344</v>
      </c>
      <c r="L6" s="702" t="s">
        <v>2345</v>
      </c>
      <c r="M6" s="482" t="s">
        <v>1447</v>
      </c>
      <c r="N6" s="278" t="s">
        <v>1445</v>
      </c>
      <c r="O6" s="278" t="s">
        <v>1446</v>
      </c>
      <c r="P6" s="278" t="s">
        <v>1445</v>
      </c>
      <c r="Q6" s="278" t="s">
        <v>1446</v>
      </c>
      <c r="R6" s="601" t="s">
        <v>1445</v>
      </c>
      <c r="S6" s="603" t="s">
        <v>1448</v>
      </c>
      <c r="T6" s="626" t="s">
        <v>2073</v>
      </c>
      <c r="U6" s="601" t="s">
        <v>1446</v>
      </c>
      <c r="V6" s="816"/>
      <c r="W6" s="816"/>
      <c r="X6" s="973"/>
      <c r="Y6" s="620" t="s">
        <v>1989</v>
      </c>
      <c r="Z6" s="601" t="s">
        <v>1031</v>
      </c>
      <c r="AA6" s="601" t="s">
        <v>1032</v>
      </c>
      <c r="AB6" s="603" t="s">
        <v>1033</v>
      </c>
      <c r="AC6" s="601" t="s">
        <v>1034</v>
      </c>
      <c r="AD6" s="603" t="s">
        <v>1035</v>
      </c>
      <c r="AE6" s="601" t="s">
        <v>1036</v>
      </c>
      <c r="AF6" s="601" t="s">
        <v>1037</v>
      </c>
      <c r="AG6" s="601" t="s">
        <v>1037</v>
      </c>
      <c r="AH6" s="601" t="s">
        <v>1038</v>
      </c>
      <c r="AI6" s="601" t="s">
        <v>1039</v>
      </c>
      <c r="AJ6" s="605" t="s">
        <v>1449</v>
      </c>
      <c r="AK6" s="601" t="s">
        <v>1026</v>
      </c>
      <c r="AL6" s="838"/>
      <c r="AM6" s="967"/>
      <c r="AN6" s="967"/>
      <c r="AO6" s="967"/>
      <c r="AP6" s="967"/>
    </row>
    <row r="7" spans="1:47" ht="14.25" customHeight="1">
      <c r="A7" s="701">
        <v>1</v>
      </c>
      <c r="B7" s="477"/>
      <c r="C7" s="611" t="s">
        <v>1899</v>
      </c>
      <c r="D7" s="477" t="s">
        <v>1184</v>
      </c>
      <c r="E7" s="475" t="s">
        <v>1453</v>
      </c>
      <c r="F7" s="611" t="s">
        <v>1987</v>
      </c>
      <c r="G7" s="482" t="s">
        <v>1487</v>
      </c>
      <c r="H7" s="482">
        <v>1</v>
      </c>
      <c r="I7" s="580">
        <v>41007</v>
      </c>
      <c r="J7" s="580">
        <v>41007</v>
      </c>
      <c r="K7" s="625">
        <v>207949.66</v>
      </c>
      <c r="L7" s="581">
        <v>152843</v>
      </c>
      <c r="M7" s="704" t="s">
        <v>2346</v>
      </c>
      <c r="N7" s="582"/>
      <c r="O7" s="582"/>
      <c r="P7" s="582">
        <f t="shared" ref="P7:P70" si="0">K7+N7</f>
        <v>207949.66</v>
      </c>
      <c r="Q7" s="582">
        <f t="shared" ref="Q7:Q70" si="1">L7+O7</f>
        <v>152843</v>
      </c>
      <c r="R7" s="583">
        <f t="shared" ref="R7:R70" si="2">AK7</f>
        <v>176400</v>
      </c>
      <c r="S7" s="668">
        <f>AP7</f>
        <v>16</v>
      </c>
      <c r="T7" s="584">
        <v>3</v>
      </c>
      <c r="U7" s="585">
        <f>IF(S7="",R7,ROUND(R7*(S7-T7)/100,0))</f>
        <v>22932</v>
      </c>
      <c r="V7" s="586">
        <f t="shared" ref="V7:V70" si="3">IF(Q7=0,"",(U7-Q7)/Q7*100)</f>
        <v>-85</v>
      </c>
      <c r="W7" s="477"/>
      <c r="X7" s="619">
        <f t="shared" ref="X7:X38" si="4">P7*1.17/H7</f>
        <v>243301.1</v>
      </c>
      <c r="Y7" s="618"/>
      <c r="Z7" s="624">
        <v>196000</v>
      </c>
      <c r="AA7" s="361">
        <f t="shared" ref="AA7:AA70" si="5">Z7/1.17</f>
        <v>167521.37</v>
      </c>
      <c r="AB7" s="597">
        <v>0.02</v>
      </c>
      <c r="AC7" s="485">
        <f t="shared" ref="AC7:AC70" si="6">Z7*AB7</f>
        <v>3920</v>
      </c>
      <c r="AD7" s="597">
        <v>0.03</v>
      </c>
      <c r="AE7" s="485">
        <f t="shared" ref="AE7:AE70" si="7">Z7*AD7</f>
        <v>5880</v>
      </c>
      <c r="AF7" s="508">
        <f t="shared" ref="AF7:AF70" si="8">(Z7+AC7+AE7)*AF$4</f>
        <v>0</v>
      </c>
      <c r="AG7" s="508">
        <f t="shared" ref="AG7:AG70" si="9">(Z7+AC7+AE7)*AG$4</f>
        <v>0</v>
      </c>
      <c r="AH7" s="508">
        <f t="shared" ref="AH7:AH70" si="10">Z7+AC7+AE7+AF7</f>
        <v>205800</v>
      </c>
      <c r="AI7" s="508">
        <f t="shared" ref="AI7:AI70" si="11">AH7*AI$3*AI$4/2</f>
        <v>0</v>
      </c>
      <c r="AJ7" s="508">
        <f t="shared" ref="AJ7:AJ70" si="12">Z7*0.17/1.17+AC7*0.11/1.11+AE7*0.11/1.11+AF7-AG7</f>
        <v>29449.8</v>
      </c>
      <c r="AK7" s="508">
        <f t="shared" ref="AK7:AK70" si="13">ROUND((Z7+AC7+AE7+AF7+AI7-AJ7)*H7,-2)</f>
        <v>176400</v>
      </c>
      <c r="AL7" s="116">
        <v>12</v>
      </c>
      <c r="AM7" s="486">
        <f t="shared" ref="AM7:AM70" si="14">(AM$4-J7)/365</f>
        <v>5.65</v>
      </c>
      <c r="AN7" s="117">
        <f t="shared" ref="AN7:AN22" si="15">ROUND((AL7-AM7),0)</f>
        <v>6</v>
      </c>
      <c r="AO7" s="487">
        <f t="shared" ref="AO7:AO70" si="16">AN7/(AM7+AN7)*100</f>
        <v>52</v>
      </c>
      <c r="AP7" s="509">
        <v>16</v>
      </c>
    </row>
    <row r="8" spans="1:47" s="694" customFormat="1" ht="14.25" customHeight="1">
      <c r="A8" s="701">
        <v>2</v>
      </c>
      <c r="B8" s="477"/>
      <c r="C8" s="477" t="s">
        <v>1452</v>
      </c>
      <c r="D8" s="477" t="s">
        <v>1185</v>
      </c>
      <c r="E8" s="475" t="s">
        <v>1453</v>
      </c>
      <c r="F8" s="611" t="s">
        <v>1997</v>
      </c>
      <c r="G8" s="482" t="s">
        <v>1454</v>
      </c>
      <c r="H8" s="482">
        <v>1</v>
      </c>
      <c r="I8" s="580">
        <v>40982</v>
      </c>
      <c r="J8" s="580">
        <v>40982</v>
      </c>
      <c r="K8" s="581">
        <v>348396.54</v>
      </c>
      <c r="L8" s="581">
        <v>254329.53</v>
      </c>
      <c r="M8" s="704" t="s">
        <v>2346</v>
      </c>
      <c r="N8" s="582"/>
      <c r="O8" s="582"/>
      <c r="P8" s="582">
        <f t="shared" si="0"/>
        <v>348396.54</v>
      </c>
      <c r="Q8" s="582">
        <f t="shared" si="1"/>
        <v>254329.53</v>
      </c>
      <c r="R8" s="583">
        <f t="shared" si="2"/>
        <v>262700</v>
      </c>
      <c r="S8" s="668">
        <f>AP8</f>
        <v>16</v>
      </c>
      <c r="T8" s="584">
        <v>5</v>
      </c>
      <c r="U8" s="585">
        <f>IF(S8="",R8,ROUND(R8*(S8-T8)/100,0))</f>
        <v>28897</v>
      </c>
      <c r="V8" s="586">
        <f t="shared" si="3"/>
        <v>-88.64</v>
      </c>
      <c r="W8" s="477"/>
      <c r="X8" s="619">
        <f t="shared" si="4"/>
        <v>407623.95</v>
      </c>
      <c r="Y8" s="618"/>
      <c r="Z8" s="624">
        <v>292000</v>
      </c>
      <c r="AA8" s="361">
        <f t="shared" si="5"/>
        <v>249572.65</v>
      </c>
      <c r="AB8" s="597">
        <v>0.02</v>
      </c>
      <c r="AC8" s="485">
        <f t="shared" si="6"/>
        <v>5840</v>
      </c>
      <c r="AD8" s="597">
        <v>0.03</v>
      </c>
      <c r="AE8" s="485">
        <f t="shared" si="7"/>
        <v>8760</v>
      </c>
      <c r="AF8" s="508">
        <f t="shared" si="8"/>
        <v>0</v>
      </c>
      <c r="AG8" s="508">
        <f t="shared" si="9"/>
        <v>0</v>
      </c>
      <c r="AH8" s="508">
        <f t="shared" si="10"/>
        <v>306600</v>
      </c>
      <c r="AI8" s="508">
        <f t="shared" si="11"/>
        <v>0</v>
      </c>
      <c r="AJ8" s="508">
        <f t="shared" si="12"/>
        <v>43874.2</v>
      </c>
      <c r="AK8" s="508">
        <f t="shared" si="13"/>
        <v>262700</v>
      </c>
      <c r="AL8" s="116">
        <v>12</v>
      </c>
      <c r="AM8" s="486">
        <f t="shared" si="14"/>
        <v>5.72</v>
      </c>
      <c r="AN8" s="117">
        <f t="shared" si="15"/>
        <v>6</v>
      </c>
      <c r="AO8" s="487">
        <f t="shared" si="16"/>
        <v>51</v>
      </c>
      <c r="AP8" s="509">
        <v>16</v>
      </c>
      <c r="AQ8" s="4"/>
      <c r="AR8" s="4"/>
      <c r="AS8" s="4"/>
      <c r="AT8" s="4"/>
      <c r="AU8" s="4"/>
    </row>
    <row r="9" spans="1:47" ht="14.25" customHeight="1">
      <c r="A9" s="701">
        <v>3</v>
      </c>
      <c r="B9" s="477"/>
      <c r="C9" s="477" t="s">
        <v>1157</v>
      </c>
      <c r="D9" s="477"/>
      <c r="E9" s="475" t="s">
        <v>1453</v>
      </c>
      <c r="F9" s="611" t="s">
        <v>1998</v>
      </c>
      <c r="G9" s="482" t="s">
        <v>1454</v>
      </c>
      <c r="H9" s="482">
        <v>1</v>
      </c>
      <c r="I9" s="580">
        <v>40969</v>
      </c>
      <c r="J9" s="580">
        <v>40969</v>
      </c>
      <c r="K9" s="581">
        <v>376237.62</v>
      </c>
      <c r="L9" s="581">
        <v>32157.06</v>
      </c>
      <c r="M9" s="582"/>
      <c r="N9" s="582"/>
      <c r="O9" s="582"/>
      <c r="P9" s="582">
        <f t="shared" si="0"/>
        <v>376237.62</v>
      </c>
      <c r="Q9" s="582">
        <f t="shared" si="1"/>
        <v>32157.06</v>
      </c>
      <c r="R9" s="583">
        <f t="shared" si="2"/>
        <v>0</v>
      </c>
      <c r="S9" s="584"/>
      <c r="T9" s="584"/>
      <c r="U9" s="585">
        <f>IF(S9="",R9,ROUND(R9*S9/100,0))</f>
        <v>0</v>
      </c>
      <c r="V9" s="586">
        <f t="shared" si="3"/>
        <v>-100</v>
      </c>
      <c r="W9" s="611" t="s">
        <v>2078</v>
      </c>
      <c r="X9" s="619">
        <f t="shared" si="4"/>
        <v>440198.02</v>
      </c>
      <c r="Y9" s="618"/>
      <c r="Z9" s="617">
        <v>0</v>
      </c>
      <c r="AA9" s="361">
        <f t="shared" si="5"/>
        <v>0</v>
      </c>
      <c r="AB9" s="597"/>
      <c r="AC9" s="485">
        <f t="shared" si="6"/>
        <v>0</v>
      </c>
      <c r="AD9" s="597"/>
      <c r="AE9" s="485">
        <f t="shared" si="7"/>
        <v>0</v>
      </c>
      <c r="AF9" s="508">
        <f t="shared" si="8"/>
        <v>0</v>
      </c>
      <c r="AG9" s="508">
        <f t="shared" si="9"/>
        <v>0</v>
      </c>
      <c r="AH9" s="508">
        <f t="shared" si="10"/>
        <v>0</v>
      </c>
      <c r="AI9" s="508">
        <f t="shared" si="11"/>
        <v>0</v>
      </c>
      <c r="AJ9" s="508">
        <f t="shared" si="12"/>
        <v>0</v>
      </c>
      <c r="AK9" s="508">
        <f t="shared" si="13"/>
        <v>0</v>
      </c>
      <c r="AM9" s="486">
        <f t="shared" si="14"/>
        <v>5.75</v>
      </c>
      <c r="AN9" s="117">
        <f t="shared" si="15"/>
        <v>-6</v>
      </c>
      <c r="AO9" s="487">
        <f t="shared" si="16"/>
        <v>2400</v>
      </c>
      <c r="AP9" s="509"/>
    </row>
    <row r="10" spans="1:47" ht="14.25" customHeight="1">
      <c r="A10" s="701">
        <v>4</v>
      </c>
      <c r="B10" s="477"/>
      <c r="C10" s="477" t="s">
        <v>1158</v>
      </c>
      <c r="D10" s="477" t="s">
        <v>1186</v>
      </c>
      <c r="E10" s="475" t="s">
        <v>1453</v>
      </c>
      <c r="F10" s="611" t="s">
        <v>1998</v>
      </c>
      <c r="G10" s="579" t="s">
        <v>1920</v>
      </c>
      <c r="H10" s="482">
        <v>1</v>
      </c>
      <c r="I10" s="580">
        <v>40969</v>
      </c>
      <c r="J10" s="580">
        <v>40969</v>
      </c>
      <c r="K10" s="581">
        <v>43583.97</v>
      </c>
      <c r="L10" s="581">
        <v>3725.13</v>
      </c>
      <c r="M10" s="582"/>
      <c r="N10" s="582"/>
      <c r="O10" s="582"/>
      <c r="P10" s="582">
        <f t="shared" si="0"/>
        <v>43583.97</v>
      </c>
      <c r="Q10" s="582">
        <f t="shared" si="1"/>
        <v>3725.13</v>
      </c>
      <c r="R10" s="583">
        <f t="shared" si="2"/>
        <v>100</v>
      </c>
      <c r="S10" s="584"/>
      <c r="T10" s="584">
        <v>4</v>
      </c>
      <c r="U10" s="585">
        <f>ROUND(R10*(1-T10/100),0)</f>
        <v>96</v>
      </c>
      <c r="V10" s="586">
        <f t="shared" si="3"/>
        <v>-97.42</v>
      </c>
      <c r="W10" s="611" t="s">
        <v>2079</v>
      </c>
      <c r="X10" s="619">
        <f t="shared" si="4"/>
        <v>50993.24</v>
      </c>
      <c r="Y10" s="618"/>
      <c r="Z10" s="617">
        <v>100</v>
      </c>
      <c r="AA10" s="361">
        <f t="shared" si="5"/>
        <v>85.47</v>
      </c>
      <c r="AB10" s="597"/>
      <c r="AC10" s="485">
        <f t="shared" si="6"/>
        <v>0</v>
      </c>
      <c r="AD10" s="597"/>
      <c r="AE10" s="485">
        <f t="shared" si="7"/>
        <v>0</v>
      </c>
      <c r="AF10" s="508">
        <f t="shared" si="8"/>
        <v>0</v>
      </c>
      <c r="AG10" s="508">
        <f t="shared" si="9"/>
        <v>0</v>
      </c>
      <c r="AH10" s="508">
        <f t="shared" si="10"/>
        <v>100</v>
      </c>
      <c r="AI10" s="508">
        <f t="shared" si="11"/>
        <v>0</v>
      </c>
      <c r="AJ10" s="508">
        <f t="shared" si="12"/>
        <v>14.53</v>
      </c>
      <c r="AK10" s="508">
        <f t="shared" si="13"/>
        <v>100</v>
      </c>
      <c r="AM10" s="486">
        <f t="shared" si="14"/>
        <v>5.75</v>
      </c>
      <c r="AN10" s="117">
        <f t="shared" si="15"/>
        <v>-6</v>
      </c>
      <c r="AO10" s="487">
        <f t="shared" si="16"/>
        <v>2400</v>
      </c>
      <c r="AP10" s="509"/>
    </row>
    <row r="11" spans="1:47" ht="14.25" customHeight="1">
      <c r="A11" s="701">
        <v>5</v>
      </c>
      <c r="B11" s="477"/>
      <c r="C11" s="477" t="s">
        <v>1641</v>
      </c>
      <c r="D11" s="477" t="s">
        <v>1187</v>
      </c>
      <c r="E11" s="475" t="s">
        <v>1453</v>
      </c>
      <c r="F11" s="611" t="s">
        <v>1999</v>
      </c>
      <c r="G11" s="482" t="s">
        <v>1633</v>
      </c>
      <c r="H11" s="482">
        <v>1</v>
      </c>
      <c r="I11" s="580">
        <v>41016</v>
      </c>
      <c r="J11" s="580">
        <v>41016</v>
      </c>
      <c r="K11" s="581">
        <v>68337.399999999994</v>
      </c>
      <c r="L11" s="581">
        <v>5840.8</v>
      </c>
      <c r="M11" s="582"/>
      <c r="N11" s="582"/>
      <c r="O11" s="582"/>
      <c r="P11" s="582">
        <f t="shared" si="0"/>
        <v>68337.399999999994</v>
      </c>
      <c r="Q11" s="582">
        <f t="shared" si="1"/>
        <v>5840.8</v>
      </c>
      <c r="R11" s="583">
        <f t="shared" si="2"/>
        <v>100</v>
      </c>
      <c r="S11" s="584"/>
      <c r="T11" s="584">
        <v>4</v>
      </c>
      <c r="U11" s="585">
        <f>ROUND(R11*(1-T11/100),0)</f>
        <v>96</v>
      </c>
      <c r="V11" s="586">
        <f t="shared" si="3"/>
        <v>-98.36</v>
      </c>
      <c r="W11" s="611" t="s">
        <v>2079</v>
      </c>
      <c r="X11" s="619">
        <f t="shared" si="4"/>
        <v>79954.759999999995</v>
      </c>
      <c r="Y11" s="618"/>
      <c r="Z11" s="617">
        <v>100</v>
      </c>
      <c r="AA11" s="361">
        <f t="shared" si="5"/>
        <v>85.47</v>
      </c>
      <c r="AB11" s="597"/>
      <c r="AC11" s="485">
        <f t="shared" si="6"/>
        <v>0</v>
      </c>
      <c r="AD11" s="597"/>
      <c r="AE11" s="485">
        <f t="shared" si="7"/>
        <v>0</v>
      </c>
      <c r="AF11" s="508">
        <f t="shared" si="8"/>
        <v>0</v>
      </c>
      <c r="AG11" s="508">
        <f t="shared" si="9"/>
        <v>0</v>
      </c>
      <c r="AH11" s="508">
        <f t="shared" si="10"/>
        <v>100</v>
      </c>
      <c r="AI11" s="508">
        <f t="shared" si="11"/>
        <v>0</v>
      </c>
      <c r="AJ11" s="508">
        <f t="shared" si="12"/>
        <v>14.53</v>
      </c>
      <c r="AK11" s="508">
        <f t="shared" si="13"/>
        <v>100</v>
      </c>
      <c r="AL11" s="116">
        <v>10</v>
      </c>
      <c r="AM11" s="486">
        <f t="shared" si="14"/>
        <v>5.62</v>
      </c>
      <c r="AN11" s="117">
        <f t="shared" si="15"/>
        <v>4</v>
      </c>
      <c r="AO11" s="487">
        <f t="shared" si="16"/>
        <v>42</v>
      </c>
      <c r="AP11" s="509"/>
    </row>
    <row r="12" spans="1:47" ht="14.25" customHeight="1">
      <c r="A12" s="701">
        <v>6</v>
      </c>
      <c r="B12" s="477"/>
      <c r="C12" s="477" t="s">
        <v>1159</v>
      </c>
      <c r="D12" s="477" t="s">
        <v>1188</v>
      </c>
      <c r="E12" s="475" t="s">
        <v>1453</v>
      </c>
      <c r="F12" s="611" t="s">
        <v>1999</v>
      </c>
      <c r="G12" s="482" t="s">
        <v>1633</v>
      </c>
      <c r="H12" s="482">
        <v>1</v>
      </c>
      <c r="I12" s="580">
        <v>41016</v>
      </c>
      <c r="J12" s="580">
        <v>41016</v>
      </c>
      <c r="K12" s="581">
        <v>30057.84</v>
      </c>
      <c r="L12" s="581">
        <v>2569.0500000000002</v>
      </c>
      <c r="M12" s="582"/>
      <c r="N12" s="582"/>
      <c r="O12" s="582"/>
      <c r="P12" s="582">
        <f t="shared" si="0"/>
        <v>30057.84</v>
      </c>
      <c r="Q12" s="582">
        <f t="shared" si="1"/>
        <v>2569.0500000000002</v>
      </c>
      <c r="R12" s="583">
        <f t="shared" si="2"/>
        <v>27400</v>
      </c>
      <c r="S12" s="668">
        <f t="shared" ref="S12:S17" si="17">AP12</f>
        <v>15</v>
      </c>
      <c r="T12" s="584">
        <v>3</v>
      </c>
      <c r="U12" s="585">
        <f>IF(S12="",R12,ROUND(R12*(S12-T12)/100,0))</f>
        <v>3288</v>
      </c>
      <c r="V12" s="586">
        <f t="shared" si="3"/>
        <v>27.99</v>
      </c>
      <c r="W12" s="477"/>
      <c r="X12" s="619">
        <f t="shared" si="4"/>
        <v>35167.67</v>
      </c>
      <c r="Y12" s="618"/>
      <c r="Z12" s="489">
        <v>32100</v>
      </c>
      <c r="AA12" s="361">
        <f t="shared" si="5"/>
        <v>27435.9</v>
      </c>
      <c r="AB12" s="597"/>
      <c r="AC12" s="485">
        <f t="shared" si="6"/>
        <v>0</v>
      </c>
      <c r="AD12" s="597"/>
      <c r="AE12" s="485">
        <f t="shared" si="7"/>
        <v>0</v>
      </c>
      <c r="AF12" s="508">
        <f t="shared" si="8"/>
        <v>0</v>
      </c>
      <c r="AG12" s="508">
        <f t="shared" si="9"/>
        <v>0</v>
      </c>
      <c r="AH12" s="508">
        <f t="shared" si="10"/>
        <v>32100</v>
      </c>
      <c r="AI12" s="508">
        <f t="shared" si="11"/>
        <v>0</v>
      </c>
      <c r="AJ12" s="508">
        <f t="shared" si="12"/>
        <v>4664.1000000000004</v>
      </c>
      <c r="AK12" s="508">
        <f t="shared" si="13"/>
        <v>27400</v>
      </c>
      <c r="AL12" s="116">
        <v>10</v>
      </c>
      <c r="AM12" s="486">
        <f t="shared" si="14"/>
        <v>5.62</v>
      </c>
      <c r="AN12" s="117">
        <f t="shared" si="15"/>
        <v>4</v>
      </c>
      <c r="AO12" s="487">
        <f t="shared" si="16"/>
        <v>42</v>
      </c>
      <c r="AP12" s="509">
        <f>AO12*AP$4</f>
        <v>15</v>
      </c>
    </row>
    <row r="13" spans="1:47" ht="14.25" customHeight="1">
      <c r="A13" s="701">
        <v>7</v>
      </c>
      <c r="B13" s="477"/>
      <c r="C13" s="477" t="s">
        <v>1160</v>
      </c>
      <c r="D13" s="477" t="s">
        <v>1189</v>
      </c>
      <c r="E13" s="475" t="s">
        <v>1453</v>
      </c>
      <c r="F13" s="611" t="s">
        <v>2000</v>
      </c>
      <c r="G13" s="482" t="s">
        <v>1758</v>
      </c>
      <c r="H13" s="482">
        <v>1</v>
      </c>
      <c r="I13" s="580">
        <v>40959</v>
      </c>
      <c r="J13" s="580">
        <v>40959</v>
      </c>
      <c r="K13" s="581">
        <v>35558.120000000003</v>
      </c>
      <c r="L13" s="581">
        <v>3039.16</v>
      </c>
      <c r="M13" s="582"/>
      <c r="N13" s="582"/>
      <c r="O13" s="582"/>
      <c r="P13" s="582">
        <f t="shared" si="0"/>
        <v>35558.120000000003</v>
      </c>
      <c r="Q13" s="582">
        <f t="shared" si="1"/>
        <v>3039.16</v>
      </c>
      <c r="R13" s="583">
        <f t="shared" si="2"/>
        <v>32400</v>
      </c>
      <c r="S13" s="668">
        <f t="shared" si="17"/>
        <v>14</v>
      </c>
      <c r="T13" s="584">
        <v>5</v>
      </c>
      <c r="U13" s="585">
        <f>IF(S13="",R13,ROUND(R13*(S13-T13)/100,0))</f>
        <v>2916</v>
      </c>
      <c r="V13" s="586">
        <f t="shared" si="3"/>
        <v>-4.05</v>
      </c>
      <c r="W13" s="477"/>
      <c r="X13" s="619">
        <f t="shared" si="4"/>
        <v>41603</v>
      </c>
      <c r="Y13" s="618"/>
      <c r="Z13" s="489">
        <v>37900</v>
      </c>
      <c r="AA13" s="361">
        <f t="shared" si="5"/>
        <v>32393.16</v>
      </c>
      <c r="AB13" s="597"/>
      <c r="AC13" s="485">
        <f t="shared" si="6"/>
        <v>0</v>
      </c>
      <c r="AD13" s="597"/>
      <c r="AE13" s="485">
        <f t="shared" si="7"/>
        <v>0</v>
      </c>
      <c r="AF13" s="508">
        <f t="shared" si="8"/>
        <v>0</v>
      </c>
      <c r="AG13" s="508">
        <f t="shared" si="9"/>
        <v>0</v>
      </c>
      <c r="AH13" s="508">
        <f t="shared" si="10"/>
        <v>37900</v>
      </c>
      <c r="AI13" s="508">
        <f t="shared" si="11"/>
        <v>0</v>
      </c>
      <c r="AJ13" s="508">
        <f t="shared" si="12"/>
        <v>5506.84</v>
      </c>
      <c r="AK13" s="508">
        <f t="shared" si="13"/>
        <v>32400</v>
      </c>
      <c r="AL13" s="116">
        <v>10</v>
      </c>
      <c r="AM13" s="486">
        <f t="shared" si="14"/>
        <v>5.78</v>
      </c>
      <c r="AN13" s="117">
        <f t="shared" si="15"/>
        <v>4</v>
      </c>
      <c r="AO13" s="487">
        <f t="shared" si="16"/>
        <v>41</v>
      </c>
      <c r="AP13" s="509">
        <f>AO13*AP$4</f>
        <v>14</v>
      </c>
    </row>
    <row r="14" spans="1:47" s="694" customFormat="1" ht="14.25" customHeight="1">
      <c r="A14" s="701">
        <v>8</v>
      </c>
      <c r="B14" s="477"/>
      <c r="C14" s="477" t="s">
        <v>1777</v>
      </c>
      <c r="D14" s="477" t="s">
        <v>1190</v>
      </c>
      <c r="E14" s="475" t="s">
        <v>1453</v>
      </c>
      <c r="F14" s="611" t="s">
        <v>2001</v>
      </c>
      <c r="G14" s="482" t="s">
        <v>1736</v>
      </c>
      <c r="H14" s="482">
        <v>1</v>
      </c>
      <c r="I14" s="580">
        <v>41043</v>
      </c>
      <c r="J14" s="580">
        <v>41043</v>
      </c>
      <c r="K14" s="616">
        <v>396410.28</v>
      </c>
      <c r="L14" s="616">
        <v>213207.75</v>
      </c>
      <c r="M14" s="704" t="s">
        <v>2346</v>
      </c>
      <c r="N14" s="582"/>
      <c r="O14" s="582"/>
      <c r="P14" s="582">
        <f t="shared" si="0"/>
        <v>396410.28</v>
      </c>
      <c r="Q14" s="582">
        <f t="shared" si="1"/>
        <v>213207.75</v>
      </c>
      <c r="R14" s="583">
        <f t="shared" si="2"/>
        <v>269200</v>
      </c>
      <c r="S14" s="668">
        <f t="shared" si="17"/>
        <v>16</v>
      </c>
      <c r="T14" s="584">
        <v>3</v>
      </c>
      <c r="U14" s="585">
        <f>IF(S14="",R14,ROUND(R14*(S14-T14)/100,0))</f>
        <v>34996</v>
      </c>
      <c r="V14" s="586">
        <f t="shared" si="3"/>
        <v>-83.59</v>
      </c>
      <c r="W14" s="477"/>
      <c r="X14" s="619">
        <f t="shared" si="4"/>
        <v>463800.03</v>
      </c>
      <c r="Y14" s="618"/>
      <c r="Z14" s="624">
        <v>315000</v>
      </c>
      <c r="AA14" s="361">
        <f t="shared" si="5"/>
        <v>269230.77</v>
      </c>
      <c r="AB14" s="597"/>
      <c r="AC14" s="485">
        <f t="shared" si="6"/>
        <v>0</v>
      </c>
      <c r="AD14" s="597"/>
      <c r="AE14" s="485">
        <f t="shared" si="7"/>
        <v>0</v>
      </c>
      <c r="AF14" s="508">
        <f t="shared" si="8"/>
        <v>0</v>
      </c>
      <c r="AG14" s="508">
        <f t="shared" si="9"/>
        <v>0</v>
      </c>
      <c r="AH14" s="508">
        <f t="shared" si="10"/>
        <v>315000</v>
      </c>
      <c r="AI14" s="508">
        <f t="shared" si="11"/>
        <v>0</v>
      </c>
      <c r="AJ14" s="508">
        <f t="shared" si="12"/>
        <v>45769.23</v>
      </c>
      <c r="AK14" s="508">
        <f t="shared" si="13"/>
        <v>269200</v>
      </c>
      <c r="AL14" s="116">
        <v>12</v>
      </c>
      <c r="AM14" s="486">
        <f t="shared" si="14"/>
        <v>5.55</v>
      </c>
      <c r="AN14" s="117">
        <f t="shared" si="15"/>
        <v>6</v>
      </c>
      <c r="AO14" s="487">
        <f t="shared" si="16"/>
        <v>52</v>
      </c>
      <c r="AP14" s="509">
        <v>16</v>
      </c>
      <c r="AQ14" s="4"/>
      <c r="AR14" s="4"/>
      <c r="AS14" s="4"/>
      <c r="AT14" s="4"/>
      <c r="AU14" s="4"/>
    </row>
    <row r="15" spans="1:47" ht="14.25" customHeight="1">
      <c r="A15" s="701">
        <v>9</v>
      </c>
      <c r="B15" s="477"/>
      <c r="C15" s="477" t="s">
        <v>1161</v>
      </c>
      <c r="D15" s="477"/>
      <c r="E15" s="475" t="s">
        <v>1453</v>
      </c>
      <c r="F15" s="611" t="s">
        <v>2046</v>
      </c>
      <c r="G15" s="482" t="s">
        <v>1736</v>
      </c>
      <c r="H15" s="482">
        <v>1</v>
      </c>
      <c r="I15" s="580">
        <v>41032</v>
      </c>
      <c r="J15" s="580">
        <v>41032</v>
      </c>
      <c r="K15" s="581">
        <v>76923.08</v>
      </c>
      <c r="L15" s="581">
        <v>6574.62</v>
      </c>
      <c r="M15" s="582"/>
      <c r="N15" s="582"/>
      <c r="O15" s="582"/>
      <c r="P15" s="582">
        <f t="shared" si="0"/>
        <v>76923.08</v>
      </c>
      <c r="Q15" s="582">
        <f t="shared" si="1"/>
        <v>6574.62</v>
      </c>
      <c r="R15" s="583">
        <f t="shared" si="2"/>
        <v>75400</v>
      </c>
      <c r="S15" s="668">
        <f t="shared" si="17"/>
        <v>18</v>
      </c>
      <c r="T15" s="584">
        <v>3</v>
      </c>
      <c r="U15" s="585">
        <f>IF(S15="",R15,ROUND(R15*(S15-T15)/100,0))</f>
        <v>11310</v>
      </c>
      <c r="V15" s="586">
        <f t="shared" si="3"/>
        <v>72.03</v>
      </c>
      <c r="W15" s="477"/>
      <c r="X15" s="619">
        <f t="shared" si="4"/>
        <v>90000</v>
      </c>
      <c r="Y15" s="618"/>
      <c r="Z15" s="489">
        <v>88200</v>
      </c>
      <c r="AA15" s="361">
        <f t="shared" si="5"/>
        <v>75384.62</v>
      </c>
      <c r="AB15" s="597"/>
      <c r="AC15" s="485">
        <f t="shared" si="6"/>
        <v>0</v>
      </c>
      <c r="AD15" s="597"/>
      <c r="AE15" s="485">
        <f t="shared" si="7"/>
        <v>0</v>
      </c>
      <c r="AF15" s="508">
        <f t="shared" si="8"/>
        <v>0</v>
      </c>
      <c r="AG15" s="508">
        <f t="shared" si="9"/>
        <v>0</v>
      </c>
      <c r="AH15" s="508">
        <f t="shared" si="10"/>
        <v>88200</v>
      </c>
      <c r="AI15" s="508">
        <f t="shared" si="11"/>
        <v>0</v>
      </c>
      <c r="AJ15" s="508">
        <f t="shared" si="12"/>
        <v>12815.38</v>
      </c>
      <c r="AK15" s="508">
        <f t="shared" si="13"/>
        <v>75400</v>
      </c>
      <c r="AL15" s="116">
        <v>12</v>
      </c>
      <c r="AM15" s="486">
        <f t="shared" si="14"/>
        <v>5.58</v>
      </c>
      <c r="AN15" s="117">
        <f t="shared" si="15"/>
        <v>6</v>
      </c>
      <c r="AO15" s="487">
        <f t="shared" si="16"/>
        <v>52</v>
      </c>
      <c r="AP15" s="509">
        <f>AO15*AP$4</f>
        <v>18</v>
      </c>
    </row>
    <row r="16" spans="1:47" ht="14.25" customHeight="1">
      <c r="A16" s="701">
        <v>10</v>
      </c>
      <c r="B16" s="477"/>
      <c r="C16" s="477" t="s">
        <v>1162</v>
      </c>
      <c r="D16" s="477" t="s">
        <v>1191</v>
      </c>
      <c r="E16" s="475" t="s">
        <v>1453</v>
      </c>
      <c r="F16" s="474" t="s">
        <v>2054</v>
      </c>
      <c r="G16" s="482" t="s">
        <v>1758</v>
      </c>
      <c r="H16" s="482">
        <v>2</v>
      </c>
      <c r="I16" s="580">
        <v>40964</v>
      </c>
      <c r="J16" s="580">
        <v>40964</v>
      </c>
      <c r="K16" s="581">
        <v>10846.15</v>
      </c>
      <c r="L16" s="581">
        <v>1898.14</v>
      </c>
      <c r="M16" s="582"/>
      <c r="N16" s="582"/>
      <c r="O16" s="582"/>
      <c r="P16" s="582">
        <f t="shared" si="0"/>
        <v>10846.15</v>
      </c>
      <c r="Q16" s="582">
        <f t="shared" si="1"/>
        <v>1898.14</v>
      </c>
      <c r="R16" s="583">
        <f t="shared" si="2"/>
        <v>10600</v>
      </c>
      <c r="S16" s="668">
        <f t="shared" si="17"/>
        <v>10</v>
      </c>
      <c r="T16" s="584"/>
      <c r="U16" s="585">
        <f>IF(S16="",R16,ROUND(R16*S16/100,0))</f>
        <v>1060</v>
      </c>
      <c r="V16" s="586">
        <f t="shared" si="3"/>
        <v>-44.16</v>
      </c>
      <c r="W16" s="477"/>
      <c r="X16" s="619">
        <f t="shared" si="4"/>
        <v>6345</v>
      </c>
      <c r="Y16" s="618"/>
      <c r="Z16" s="489">
        <v>6200</v>
      </c>
      <c r="AA16" s="361">
        <f t="shared" si="5"/>
        <v>5299.15</v>
      </c>
      <c r="AB16" s="597"/>
      <c r="AC16" s="485">
        <f t="shared" si="6"/>
        <v>0</v>
      </c>
      <c r="AD16" s="597"/>
      <c r="AE16" s="485">
        <f t="shared" si="7"/>
        <v>0</v>
      </c>
      <c r="AF16" s="508">
        <f t="shared" si="8"/>
        <v>0</v>
      </c>
      <c r="AG16" s="508">
        <f t="shared" si="9"/>
        <v>0</v>
      </c>
      <c r="AH16" s="508">
        <f t="shared" si="10"/>
        <v>6200</v>
      </c>
      <c r="AI16" s="508">
        <f t="shared" si="11"/>
        <v>0</v>
      </c>
      <c r="AJ16" s="508">
        <f t="shared" si="12"/>
        <v>900.85</v>
      </c>
      <c r="AK16" s="508">
        <f t="shared" si="13"/>
        <v>10600</v>
      </c>
      <c r="AL16" s="116">
        <v>8</v>
      </c>
      <c r="AM16" s="486">
        <f t="shared" si="14"/>
        <v>5.77</v>
      </c>
      <c r="AN16" s="117">
        <f t="shared" si="15"/>
        <v>2</v>
      </c>
      <c r="AO16" s="487">
        <f t="shared" si="16"/>
        <v>26</v>
      </c>
      <c r="AP16" s="667">
        <v>10</v>
      </c>
    </row>
    <row r="17" spans="1:47" ht="14.25" customHeight="1">
      <c r="A17" s="701">
        <v>11</v>
      </c>
      <c r="B17" s="477"/>
      <c r="C17" s="477" t="s">
        <v>1676</v>
      </c>
      <c r="D17" s="477" t="s">
        <v>1192</v>
      </c>
      <c r="E17" s="475" t="s">
        <v>1453</v>
      </c>
      <c r="F17" s="474" t="s">
        <v>2055</v>
      </c>
      <c r="G17" s="482" t="s">
        <v>1943</v>
      </c>
      <c r="H17" s="482">
        <v>1</v>
      </c>
      <c r="I17" s="580">
        <v>40964</v>
      </c>
      <c r="J17" s="580">
        <v>40787</v>
      </c>
      <c r="K17" s="581">
        <v>4504.2700000000004</v>
      </c>
      <c r="L17" s="581">
        <v>0</v>
      </c>
      <c r="M17" s="582"/>
      <c r="N17" s="582"/>
      <c r="O17" s="582"/>
      <c r="P17" s="582">
        <f t="shared" si="0"/>
        <v>4504.2700000000004</v>
      </c>
      <c r="Q17" s="582">
        <f t="shared" si="1"/>
        <v>0</v>
      </c>
      <c r="R17" s="583">
        <f t="shared" si="2"/>
        <v>4300</v>
      </c>
      <c r="S17" s="668">
        <f t="shared" si="17"/>
        <v>10</v>
      </c>
      <c r="T17" s="584"/>
      <c r="U17" s="585">
        <f>IF(S17="",R17,ROUND(R17*S17/100,0))</f>
        <v>430</v>
      </c>
      <c r="V17" s="586" t="str">
        <f t="shared" si="3"/>
        <v/>
      </c>
      <c r="W17" s="477"/>
      <c r="X17" s="619">
        <f t="shared" si="4"/>
        <v>5270</v>
      </c>
      <c r="Y17" s="618"/>
      <c r="Z17" s="489">
        <v>5000</v>
      </c>
      <c r="AA17" s="361">
        <f t="shared" si="5"/>
        <v>4273.5</v>
      </c>
      <c r="AB17" s="597"/>
      <c r="AC17" s="485">
        <f t="shared" si="6"/>
        <v>0</v>
      </c>
      <c r="AD17" s="597"/>
      <c r="AE17" s="485">
        <f t="shared" si="7"/>
        <v>0</v>
      </c>
      <c r="AF17" s="508">
        <f t="shared" si="8"/>
        <v>0</v>
      </c>
      <c r="AG17" s="508">
        <f t="shared" si="9"/>
        <v>0</v>
      </c>
      <c r="AH17" s="508">
        <f t="shared" si="10"/>
        <v>5000</v>
      </c>
      <c r="AI17" s="508">
        <f t="shared" si="11"/>
        <v>0</v>
      </c>
      <c r="AJ17" s="508">
        <f t="shared" si="12"/>
        <v>726.5</v>
      </c>
      <c r="AK17" s="508">
        <f t="shared" si="13"/>
        <v>4300</v>
      </c>
      <c r="AL17" s="116">
        <v>8</v>
      </c>
      <c r="AM17" s="486">
        <f t="shared" si="14"/>
        <v>6.25</v>
      </c>
      <c r="AN17" s="117">
        <f t="shared" si="15"/>
        <v>2</v>
      </c>
      <c r="AO17" s="487">
        <f t="shared" si="16"/>
        <v>24</v>
      </c>
      <c r="AP17" s="667">
        <v>10</v>
      </c>
    </row>
    <row r="18" spans="1:47" ht="14.25" customHeight="1">
      <c r="A18" s="701">
        <v>12</v>
      </c>
      <c r="B18" s="477"/>
      <c r="C18" s="477" t="s">
        <v>1163</v>
      </c>
      <c r="D18" s="477" t="s">
        <v>1193</v>
      </c>
      <c r="E18" s="475" t="s">
        <v>1453</v>
      </c>
      <c r="F18" s="611" t="s">
        <v>2056</v>
      </c>
      <c r="G18" s="482" t="s">
        <v>1943</v>
      </c>
      <c r="H18" s="482">
        <v>1</v>
      </c>
      <c r="I18" s="580">
        <v>40964</v>
      </c>
      <c r="J18" s="580">
        <v>40964</v>
      </c>
      <c r="K18" s="581">
        <v>1709.4</v>
      </c>
      <c r="L18" s="581">
        <v>0</v>
      </c>
      <c r="M18" s="582"/>
      <c r="N18" s="582"/>
      <c r="O18" s="582"/>
      <c r="P18" s="582">
        <f t="shared" si="0"/>
        <v>1709.4</v>
      </c>
      <c r="Q18" s="582">
        <f t="shared" si="1"/>
        <v>0</v>
      </c>
      <c r="R18" s="583">
        <f t="shared" si="2"/>
        <v>300</v>
      </c>
      <c r="S18" s="584"/>
      <c r="T18" s="584"/>
      <c r="U18" s="585">
        <f>IF(S18="",R18,ROUND(R18*S18/100,0))</f>
        <v>300</v>
      </c>
      <c r="V18" s="586" t="str">
        <f t="shared" si="3"/>
        <v/>
      </c>
      <c r="W18" s="477"/>
      <c r="X18" s="619">
        <f t="shared" si="4"/>
        <v>2000</v>
      </c>
      <c r="Y18" s="618"/>
      <c r="Z18" s="617">
        <v>300</v>
      </c>
      <c r="AA18" s="361">
        <f t="shared" si="5"/>
        <v>256.41000000000003</v>
      </c>
      <c r="AB18" s="597"/>
      <c r="AC18" s="485">
        <f t="shared" si="6"/>
        <v>0</v>
      </c>
      <c r="AD18" s="597"/>
      <c r="AE18" s="485">
        <f t="shared" si="7"/>
        <v>0</v>
      </c>
      <c r="AF18" s="508">
        <f t="shared" si="8"/>
        <v>0</v>
      </c>
      <c r="AG18" s="508">
        <f t="shared" si="9"/>
        <v>0</v>
      </c>
      <c r="AH18" s="508">
        <f t="shared" si="10"/>
        <v>300</v>
      </c>
      <c r="AI18" s="508">
        <f t="shared" si="11"/>
        <v>0</v>
      </c>
      <c r="AJ18" s="508">
        <f t="shared" si="12"/>
        <v>43.59</v>
      </c>
      <c r="AK18" s="508">
        <f t="shared" si="13"/>
        <v>300</v>
      </c>
      <c r="AL18" s="116">
        <v>6</v>
      </c>
      <c r="AM18" s="486">
        <f t="shared" si="14"/>
        <v>5.77</v>
      </c>
      <c r="AN18" s="117">
        <f t="shared" si="15"/>
        <v>0</v>
      </c>
      <c r="AO18" s="487">
        <f t="shared" si="16"/>
        <v>0</v>
      </c>
      <c r="AP18" s="509"/>
    </row>
    <row r="19" spans="1:47" s="694" customFormat="1" ht="14.25" customHeight="1">
      <c r="A19" s="701">
        <v>13</v>
      </c>
      <c r="B19" s="477"/>
      <c r="C19" s="477" t="s">
        <v>1164</v>
      </c>
      <c r="D19" s="477" t="s">
        <v>1194</v>
      </c>
      <c r="E19" s="475" t="s">
        <v>1453</v>
      </c>
      <c r="F19" s="477"/>
      <c r="G19" s="482" t="s">
        <v>1943</v>
      </c>
      <c r="H19" s="482">
        <v>1</v>
      </c>
      <c r="I19" s="580">
        <v>40964</v>
      </c>
      <c r="J19" s="580">
        <v>40964</v>
      </c>
      <c r="K19" s="581">
        <v>914.53</v>
      </c>
      <c r="L19" s="581">
        <v>0</v>
      </c>
      <c r="M19" s="582"/>
      <c r="N19" s="582"/>
      <c r="O19" s="582"/>
      <c r="P19" s="582">
        <f t="shared" si="0"/>
        <v>914.53</v>
      </c>
      <c r="Q19" s="582">
        <f t="shared" si="1"/>
        <v>0</v>
      </c>
      <c r="R19" s="583">
        <f t="shared" si="2"/>
        <v>900</v>
      </c>
      <c r="S19" s="668">
        <f>AP19</f>
        <v>10</v>
      </c>
      <c r="T19" s="584"/>
      <c r="U19" s="585">
        <f>IF(S19="",R19,ROUND(R19*(S19-T19)/100,0))</f>
        <v>90</v>
      </c>
      <c r="V19" s="586" t="str">
        <f t="shared" si="3"/>
        <v/>
      </c>
      <c r="W19" s="477"/>
      <c r="X19" s="619">
        <f t="shared" si="4"/>
        <v>1070</v>
      </c>
      <c r="Y19" s="618"/>
      <c r="Z19" s="489">
        <v>1100</v>
      </c>
      <c r="AA19" s="361">
        <f t="shared" si="5"/>
        <v>940.17</v>
      </c>
      <c r="AB19" s="597"/>
      <c r="AC19" s="485">
        <f t="shared" si="6"/>
        <v>0</v>
      </c>
      <c r="AD19" s="597"/>
      <c r="AE19" s="485">
        <f t="shared" si="7"/>
        <v>0</v>
      </c>
      <c r="AF19" s="508">
        <f t="shared" si="8"/>
        <v>0</v>
      </c>
      <c r="AG19" s="508">
        <f t="shared" si="9"/>
        <v>0</v>
      </c>
      <c r="AH19" s="508">
        <f t="shared" si="10"/>
        <v>1100</v>
      </c>
      <c r="AI19" s="508">
        <f t="shared" si="11"/>
        <v>0</v>
      </c>
      <c r="AJ19" s="508">
        <f t="shared" si="12"/>
        <v>159.83000000000001</v>
      </c>
      <c r="AK19" s="508">
        <f t="shared" si="13"/>
        <v>900</v>
      </c>
      <c r="AL19" s="116">
        <v>8</v>
      </c>
      <c r="AM19" s="486">
        <f t="shared" si="14"/>
        <v>5.77</v>
      </c>
      <c r="AN19" s="117">
        <f t="shared" si="15"/>
        <v>2</v>
      </c>
      <c r="AO19" s="487">
        <f t="shared" si="16"/>
        <v>26</v>
      </c>
      <c r="AP19" s="667">
        <v>10</v>
      </c>
      <c r="AQ19" s="4"/>
      <c r="AR19" s="4"/>
      <c r="AS19" s="4"/>
      <c r="AT19" s="4"/>
      <c r="AU19" s="4"/>
    </row>
    <row r="20" spans="1:47" ht="14.25" customHeight="1">
      <c r="A20" s="701">
        <v>14</v>
      </c>
      <c r="B20" s="477"/>
      <c r="C20" s="477" t="s">
        <v>1689</v>
      </c>
      <c r="D20" s="477" t="s">
        <v>1195</v>
      </c>
      <c r="E20" s="475" t="s">
        <v>1453</v>
      </c>
      <c r="F20" s="474" t="s">
        <v>2057</v>
      </c>
      <c r="G20" s="579" t="s">
        <v>1965</v>
      </c>
      <c r="H20" s="482">
        <v>1</v>
      </c>
      <c r="I20" s="580">
        <v>40964</v>
      </c>
      <c r="J20" s="580">
        <v>40848</v>
      </c>
      <c r="K20" s="581">
        <v>3196.58</v>
      </c>
      <c r="L20" s="581">
        <v>0</v>
      </c>
      <c r="M20" s="582"/>
      <c r="N20" s="582"/>
      <c r="O20" s="582"/>
      <c r="P20" s="582">
        <f t="shared" si="0"/>
        <v>3196.58</v>
      </c>
      <c r="Q20" s="582">
        <f t="shared" si="1"/>
        <v>0</v>
      </c>
      <c r="R20" s="583">
        <f t="shared" si="2"/>
        <v>0</v>
      </c>
      <c r="S20" s="584"/>
      <c r="T20" s="584"/>
      <c r="U20" s="585">
        <f>ROUND(R20*(1-T20/100),0)</f>
        <v>0</v>
      </c>
      <c r="V20" s="586" t="str">
        <f t="shared" si="3"/>
        <v/>
      </c>
      <c r="W20" s="611" t="s">
        <v>2076</v>
      </c>
      <c r="X20" s="619">
        <f t="shared" si="4"/>
        <v>3740</v>
      </c>
      <c r="Y20" s="618"/>
      <c r="Z20" s="617">
        <v>0</v>
      </c>
      <c r="AA20" s="361">
        <f t="shared" si="5"/>
        <v>0</v>
      </c>
      <c r="AB20" s="597"/>
      <c r="AC20" s="485">
        <f t="shared" si="6"/>
        <v>0</v>
      </c>
      <c r="AD20" s="597"/>
      <c r="AE20" s="485">
        <f t="shared" si="7"/>
        <v>0</v>
      </c>
      <c r="AF20" s="508">
        <f t="shared" si="8"/>
        <v>0</v>
      </c>
      <c r="AG20" s="508">
        <f t="shared" si="9"/>
        <v>0</v>
      </c>
      <c r="AH20" s="508">
        <f t="shared" si="10"/>
        <v>0</v>
      </c>
      <c r="AI20" s="508">
        <f t="shared" si="11"/>
        <v>0</v>
      </c>
      <c r="AJ20" s="508">
        <f t="shared" si="12"/>
        <v>0</v>
      </c>
      <c r="AK20" s="508">
        <f t="shared" si="13"/>
        <v>0</v>
      </c>
      <c r="AL20" s="116">
        <v>6</v>
      </c>
      <c r="AM20" s="486">
        <f t="shared" si="14"/>
        <v>6.08</v>
      </c>
      <c r="AN20" s="117">
        <f t="shared" si="15"/>
        <v>0</v>
      </c>
      <c r="AO20" s="487">
        <f t="shared" si="16"/>
        <v>0</v>
      </c>
      <c r="AP20" s="509"/>
    </row>
    <row r="21" spans="1:47" ht="14.25" customHeight="1">
      <c r="A21" s="701">
        <v>15</v>
      </c>
      <c r="B21" s="477"/>
      <c r="C21" s="477" t="s">
        <v>1165</v>
      </c>
      <c r="D21" s="477" t="s">
        <v>1196</v>
      </c>
      <c r="E21" s="475" t="s">
        <v>1453</v>
      </c>
      <c r="F21" s="474" t="s">
        <v>2058</v>
      </c>
      <c r="G21" s="482" t="s">
        <v>1943</v>
      </c>
      <c r="H21" s="482">
        <v>1</v>
      </c>
      <c r="I21" s="580">
        <v>40964</v>
      </c>
      <c r="J21" s="580">
        <v>40725</v>
      </c>
      <c r="K21" s="581">
        <v>4025.64</v>
      </c>
      <c r="L21" s="581">
        <v>0</v>
      </c>
      <c r="M21" s="582"/>
      <c r="N21" s="582"/>
      <c r="O21" s="582"/>
      <c r="P21" s="582">
        <f t="shared" si="0"/>
        <v>4025.64</v>
      </c>
      <c r="Q21" s="582">
        <f t="shared" si="1"/>
        <v>0</v>
      </c>
      <c r="R21" s="583">
        <f t="shared" si="2"/>
        <v>3800</v>
      </c>
      <c r="S21" s="668">
        <f>AP21</f>
        <v>10</v>
      </c>
      <c r="T21" s="584"/>
      <c r="U21" s="585">
        <f>IF(S21="",R21,ROUND(R21*S21/100,0))</f>
        <v>380</v>
      </c>
      <c r="V21" s="586" t="str">
        <f t="shared" si="3"/>
        <v/>
      </c>
      <c r="W21" s="477"/>
      <c r="X21" s="619">
        <f t="shared" si="4"/>
        <v>4710</v>
      </c>
      <c r="Y21" s="618"/>
      <c r="Z21" s="489">
        <v>4500</v>
      </c>
      <c r="AA21" s="361">
        <f t="shared" si="5"/>
        <v>3846.15</v>
      </c>
      <c r="AB21" s="597"/>
      <c r="AC21" s="485">
        <f t="shared" si="6"/>
        <v>0</v>
      </c>
      <c r="AD21" s="597"/>
      <c r="AE21" s="485">
        <f t="shared" si="7"/>
        <v>0</v>
      </c>
      <c r="AF21" s="508">
        <f t="shared" si="8"/>
        <v>0</v>
      </c>
      <c r="AG21" s="508">
        <f t="shared" si="9"/>
        <v>0</v>
      </c>
      <c r="AH21" s="508">
        <f t="shared" si="10"/>
        <v>4500</v>
      </c>
      <c r="AI21" s="508">
        <f t="shared" si="11"/>
        <v>0</v>
      </c>
      <c r="AJ21" s="508">
        <f t="shared" si="12"/>
        <v>653.85</v>
      </c>
      <c r="AK21" s="508">
        <f t="shared" si="13"/>
        <v>3800</v>
      </c>
      <c r="AL21" s="116">
        <v>8</v>
      </c>
      <c r="AM21" s="486">
        <f t="shared" si="14"/>
        <v>6.42</v>
      </c>
      <c r="AN21" s="117">
        <f t="shared" si="15"/>
        <v>2</v>
      </c>
      <c r="AO21" s="487">
        <f t="shared" si="16"/>
        <v>24</v>
      </c>
      <c r="AP21" s="667">
        <v>10</v>
      </c>
    </row>
    <row r="22" spans="1:47" ht="14.25" customHeight="1">
      <c r="A22" s="701">
        <v>16</v>
      </c>
      <c r="B22" s="477"/>
      <c r="C22" s="477" t="s">
        <v>1166</v>
      </c>
      <c r="D22" s="477" t="s">
        <v>1197</v>
      </c>
      <c r="E22" s="475" t="s">
        <v>1453</v>
      </c>
      <c r="F22" s="611" t="s">
        <v>2059</v>
      </c>
      <c r="G22" s="482" t="s">
        <v>1943</v>
      </c>
      <c r="H22" s="482">
        <v>1</v>
      </c>
      <c r="I22" s="580">
        <v>40964</v>
      </c>
      <c r="J22" s="580">
        <v>40787</v>
      </c>
      <c r="K22" s="581">
        <v>572.65</v>
      </c>
      <c r="L22" s="581">
        <v>0</v>
      </c>
      <c r="M22" s="582"/>
      <c r="N22" s="582"/>
      <c r="O22" s="582"/>
      <c r="P22" s="582">
        <f t="shared" si="0"/>
        <v>572.65</v>
      </c>
      <c r="Q22" s="582">
        <f t="shared" si="1"/>
        <v>0</v>
      </c>
      <c r="R22" s="583">
        <f t="shared" si="2"/>
        <v>500</v>
      </c>
      <c r="S22" s="668">
        <f>AP22</f>
        <v>14</v>
      </c>
      <c r="T22" s="584"/>
      <c r="U22" s="585">
        <f>IF(S22="",R22,ROUND(R22*(S22-T22)/100,0))</f>
        <v>70</v>
      </c>
      <c r="V22" s="586" t="str">
        <f t="shared" si="3"/>
        <v/>
      </c>
      <c r="W22" s="477"/>
      <c r="X22" s="619">
        <f t="shared" si="4"/>
        <v>670</v>
      </c>
      <c r="Y22" s="618"/>
      <c r="Z22" s="489">
        <v>600</v>
      </c>
      <c r="AA22" s="361">
        <f t="shared" si="5"/>
        <v>512.82000000000005</v>
      </c>
      <c r="AB22" s="597"/>
      <c r="AC22" s="485">
        <f t="shared" si="6"/>
        <v>0</v>
      </c>
      <c r="AD22" s="597"/>
      <c r="AE22" s="485">
        <f t="shared" si="7"/>
        <v>0</v>
      </c>
      <c r="AF22" s="508">
        <f t="shared" si="8"/>
        <v>0</v>
      </c>
      <c r="AG22" s="508">
        <f t="shared" si="9"/>
        <v>0</v>
      </c>
      <c r="AH22" s="508">
        <f t="shared" si="10"/>
        <v>600</v>
      </c>
      <c r="AI22" s="508">
        <f t="shared" si="11"/>
        <v>0</v>
      </c>
      <c r="AJ22" s="508">
        <f t="shared" si="12"/>
        <v>87.18</v>
      </c>
      <c r="AK22" s="508">
        <f t="shared" si="13"/>
        <v>500</v>
      </c>
      <c r="AL22" s="116">
        <v>10</v>
      </c>
      <c r="AM22" s="486">
        <f t="shared" si="14"/>
        <v>6.25</v>
      </c>
      <c r="AN22" s="117">
        <f t="shared" si="15"/>
        <v>4</v>
      </c>
      <c r="AO22" s="487">
        <f t="shared" si="16"/>
        <v>39</v>
      </c>
      <c r="AP22" s="509">
        <f>AO22*AP$4</f>
        <v>14</v>
      </c>
    </row>
    <row r="23" spans="1:47" ht="14.25" customHeight="1">
      <c r="A23" s="701">
        <v>17</v>
      </c>
      <c r="B23" s="477"/>
      <c r="C23" s="477" t="s">
        <v>1567</v>
      </c>
      <c r="D23" s="477" t="s">
        <v>1198</v>
      </c>
      <c r="E23" s="475" t="s">
        <v>1453</v>
      </c>
      <c r="F23" s="477"/>
      <c r="G23" s="482" t="s">
        <v>1943</v>
      </c>
      <c r="H23" s="482">
        <v>1</v>
      </c>
      <c r="I23" s="580">
        <v>40964</v>
      </c>
      <c r="J23" s="580">
        <v>40964</v>
      </c>
      <c r="K23" s="581">
        <v>7846.15</v>
      </c>
      <c r="L23" s="581">
        <v>1373.14</v>
      </c>
      <c r="M23" s="582"/>
      <c r="N23" s="582"/>
      <c r="O23" s="582"/>
      <c r="P23" s="582">
        <f t="shared" si="0"/>
        <v>7846.15</v>
      </c>
      <c r="Q23" s="582">
        <f t="shared" si="1"/>
        <v>1373.14</v>
      </c>
      <c r="R23" s="583">
        <f t="shared" si="2"/>
        <v>7500</v>
      </c>
      <c r="S23" s="668">
        <f>AP23</f>
        <v>10</v>
      </c>
      <c r="T23" s="584"/>
      <c r="U23" s="585">
        <f>IF(S23="",R23,ROUND(R23*S23/100,0))</f>
        <v>750</v>
      </c>
      <c r="V23" s="586">
        <f t="shared" si="3"/>
        <v>-45.38</v>
      </c>
      <c r="W23" s="477"/>
      <c r="X23" s="619">
        <f t="shared" si="4"/>
        <v>9180</v>
      </c>
      <c r="Y23" s="618"/>
      <c r="Z23" s="489">
        <v>8800</v>
      </c>
      <c r="AA23" s="361">
        <f t="shared" si="5"/>
        <v>7521.37</v>
      </c>
      <c r="AB23" s="597"/>
      <c r="AC23" s="485">
        <f t="shared" si="6"/>
        <v>0</v>
      </c>
      <c r="AD23" s="597"/>
      <c r="AE23" s="485">
        <f t="shared" si="7"/>
        <v>0</v>
      </c>
      <c r="AF23" s="508">
        <f t="shared" si="8"/>
        <v>0</v>
      </c>
      <c r="AG23" s="508">
        <f t="shared" si="9"/>
        <v>0</v>
      </c>
      <c r="AH23" s="508">
        <f t="shared" si="10"/>
        <v>8800</v>
      </c>
      <c r="AI23" s="508">
        <f t="shared" si="11"/>
        <v>0</v>
      </c>
      <c r="AJ23" s="508">
        <f t="shared" si="12"/>
        <v>1278.6300000000001</v>
      </c>
      <c r="AK23" s="508">
        <f t="shared" si="13"/>
        <v>7500</v>
      </c>
      <c r="AL23" s="116">
        <v>6</v>
      </c>
      <c r="AM23" s="486">
        <f t="shared" si="14"/>
        <v>5.77</v>
      </c>
      <c r="AN23" s="632">
        <v>1</v>
      </c>
      <c r="AO23" s="487">
        <f t="shared" si="16"/>
        <v>15</v>
      </c>
      <c r="AP23" s="667">
        <v>10</v>
      </c>
    </row>
    <row r="24" spans="1:47" ht="14.25" customHeight="1">
      <c r="A24" s="701">
        <v>18</v>
      </c>
      <c r="B24" s="477"/>
      <c r="C24" s="477" t="s">
        <v>1167</v>
      </c>
      <c r="D24" s="477" t="s">
        <v>1199</v>
      </c>
      <c r="E24" s="475" t="s">
        <v>1453</v>
      </c>
      <c r="F24" s="611" t="s">
        <v>2060</v>
      </c>
      <c r="G24" s="579" t="s">
        <v>1890</v>
      </c>
      <c r="H24" s="482">
        <v>2</v>
      </c>
      <c r="I24" s="580">
        <v>40964</v>
      </c>
      <c r="J24" s="580">
        <v>40725</v>
      </c>
      <c r="K24" s="581">
        <v>4564.1000000000004</v>
      </c>
      <c r="L24" s="581">
        <v>0</v>
      </c>
      <c r="M24" s="582"/>
      <c r="N24" s="582"/>
      <c r="O24" s="582"/>
      <c r="P24" s="582">
        <f t="shared" si="0"/>
        <v>4564.1000000000004</v>
      </c>
      <c r="Q24" s="582">
        <f t="shared" si="1"/>
        <v>0</v>
      </c>
      <c r="R24" s="583">
        <f t="shared" si="2"/>
        <v>0</v>
      </c>
      <c r="S24" s="584"/>
      <c r="T24" s="584"/>
      <c r="U24" s="585">
        <f>ROUND(R24*(1-T24/100),0)</f>
        <v>0</v>
      </c>
      <c r="V24" s="586" t="str">
        <f t="shared" si="3"/>
        <v/>
      </c>
      <c r="W24" s="611" t="s">
        <v>2074</v>
      </c>
      <c r="X24" s="619">
        <f t="shared" si="4"/>
        <v>2670</v>
      </c>
      <c r="Y24" s="618"/>
      <c r="Z24" s="617">
        <v>0</v>
      </c>
      <c r="AA24" s="361">
        <f t="shared" si="5"/>
        <v>0</v>
      </c>
      <c r="AB24" s="597"/>
      <c r="AC24" s="485">
        <f t="shared" si="6"/>
        <v>0</v>
      </c>
      <c r="AD24" s="597"/>
      <c r="AE24" s="485">
        <f t="shared" si="7"/>
        <v>0</v>
      </c>
      <c r="AF24" s="508">
        <f t="shared" si="8"/>
        <v>0</v>
      </c>
      <c r="AG24" s="508">
        <f t="shared" si="9"/>
        <v>0</v>
      </c>
      <c r="AH24" s="508">
        <f t="shared" si="10"/>
        <v>0</v>
      </c>
      <c r="AI24" s="508">
        <f t="shared" si="11"/>
        <v>0</v>
      </c>
      <c r="AJ24" s="508">
        <f t="shared" si="12"/>
        <v>0</v>
      </c>
      <c r="AK24" s="508">
        <f t="shared" si="13"/>
        <v>0</v>
      </c>
      <c r="AL24" s="116">
        <v>6</v>
      </c>
      <c r="AM24" s="486">
        <f t="shared" si="14"/>
        <v>6.42</v>
      </c>
      <c r="AN24" s="117">
        <f t="shared" ref="AN24:AN55" si="18">ROUND((AL24-AM24),0)</f>
        <v>0</v>
      </c>
      <c r="AO24" s="487">
        <f t="shared" si="16"/>
        <v>0</v>
      </c>
      <c r="AP24" s="509"/>
    </row>
    <row r="25" spans="1:47" ht="14.25" customHeight="1">
      <c r="A25" s="701">
        <v>19</v>
      </c>
      <c r="B25" s="477"/>
      <c r="C25" s="477" t="s">
        <v>1168</v>
      </c>
      <c r="D25" s="477" t="s">
        <v>1200</v>
      </c>
      <c r="E25" s="475" t="s">
        <v>1453</v>
      </c>
      <c r="F25" s="611" t="s">
        <v>2059</v>
      </c>
      <c r="G25" s="482" t="s">
        <v>1943</v>
      </c>
      <c r="H25" s="482">
        <v>1</v>
      </c>
      <c r="I25" s="580">
        <v>40964</v>
      </c>
      <c r="J25" s="580">
        <v>40787</v>
      </c>
      <c r="K25" s="581">
        <v>897.44</v>
      </c>
      <c r="L25" s="581">
        <v>0</v>
      </c>
      <c r="M25" s="582"/>
      <c r="N25" s="582"/>
      <c r="O25" s="582"/>
      <c r="P25" s="582">
        <f t="shared" si="0"/>
        <v>897.44</v>
      </c>
      <c r="Q25" s="582">
        <f t="shared" si="1"/>
        <v>0</v>
      </c>
      <c r="R25" s="583">
        <f t="shared" si="2"/>
        <v>900</v>
      </c>
      <c r="S25" s="668">
        <f>AP25</f>
        <v>10</v>
      </c>
      <c r="T25" s="584"/>
      <c r="U25" s="585">
        <f>IF(S25="",R25,ROUND(R25*(S25-T25)/100,0))</f>
        <v>90</v>
      </c>
      <c r="V25" s="586" t="str">
        <f t="shared" si="3"/>
        <v/>
      </c>
      <c r="W25" s="611"/>
      <c r="X25" s="619">
        <f t="shared" si="4"/>
        <v>1050</v>
      </c>
      <c r="Y25" s="618"/>
      <c r="Z25" s="489">
        <v>1000</v>
      </c>
      <c r="AA25" s="361">
        <f t="shared" si="5"/>
        <v>854.7</v>
      </c>
      <c r="AB25" s="597"/>
      <c r="AC25" s="485">
        <f t="shared" si="6"/>
        <v>0</v>
      </c>
      <c r="AD25" s="597"/>
      <c r="AE25" s="485">
        <f t="shared" si="7"/>
        <v>0</v>
      </c>
      <c r="AF25" s="508">
        <f t="shared" si="8"/>
        <v>0</v>
      </c>
      <c r="AG25" s="508">
        <f t="shared" si="9"/>
        <v>0</v>
      </c>
      <c r="AH25" s="508">
        <f t="shared" si="10"/>
        <v>1000</v>
      </c>
      <c r="AI25" s="508">
        <f t="shared" si="11"/>
        <v>0</v>
      </c>
      <c r="AJ25" s="508">
        <f t="shared" si="12"/>
        <v>145.30000000000001</v>
      </c>
      <c r="AK25" s="508">
        <f t="shared" si="13"/>
        <v>900</v>
      </c>
      <c r="AL25" s="116">
        <v>8</v>
      </c>
      <c r="AM25" s="486">
        <f t="shared" si="14"/>
        <v>6.25</v>
      </c>
      <c r="AN25" s="117">
        <f t="shared" si="18"/>
        <v>2</v>
      </c>
      <c r="AO25" s="487">
        <f t="shared" si="16"/>
        <v>24</v>
      </c>
      <c r="AP25" s="667">
        <v>10</v>
      </c>
    </row>
    <row r="26" spans="1:47" s="694" customFormat="1" ht="14.25" customHeight="1">
      <c r="A26" s="701">
        <v>20</v>
      </c>
      <c r="B26" s="477"/>
      <c r="C26" s="477" t="s">
        <v>1656</v>
      </c>
      <c r="D26" s="477" t="s">
        <v>1201</v>
      </c>
      <c r="E26" s="475" t="s">
        <v>1453</v>
      </c>
      <c r="F26" s="477"/>
      <c r="G26" s="482" t="s">
        <v>1943</v>
      </c>
      <c r="H26" s="482">
        <v>2</v>
      </c>
      <c r="I26" s="580">
        <v>40964</v>
      </c>
      <c r="J26" s="580">
        <v>40964</v>
      </c>
      <c r="K26" s="581">
        <v>1752.14</v>
      </c>
      <c r="L26" s="581">
        <v>0</v>
      </c>
      <c r="M26" s="582"/>
      <c r="N26" s="582"/>
      <c r="O26" s="582"/>
      <c r="P26" s="582">
        <f t="shared" si="0"/>
        <v>1752.14</v>
      </c>
      <c r="Q26" s="582">
        <f t="shared" si="1"/>
        <v>0</v>
      </c>
      <c r="R26" s="583">
        <f t="shared" si="2"/>
        <v>1700</v>
      </c>
      <c r="S26" s="668">
        <f>AP26</f>
        <v>10</v>
      </c>
      <c r="T26" s="584"/>
      <c r="U26" s="585">
        <f>IF(S26="",R26,ROUND(R26*(S26-T26)/100,0))</f>
        <v>170</v>
      </c>
      <c r="V26" s="586" t="str">
        <f t="shared" si="3"/>
        <v/>
      </c>
      <c r="W26" s="477"/>
      <c r="X26" s="619">
        <f t="shared" si="4"/>
        <v>1025</v>
      </c>
      <c r="Y26" s="618"/>
      <c r="Z26" s="489">
        <v>1000</v>
      </c>
      <c r="AA26" s="361">
        <f t="shared" si="5"/>
        <v>854.7</v>
      </c>
      <c r="AB26" s="597"/>
      <c r="AC26" s="485">
        <f t="shared" si="6"/>
        <v>0</v>
      </c>
      <c r="AD26" s="597"/>
      <c r="AE26" s="485">
        <f t="shared" si="7"/>
        <v>0</v>
      </c>
      <c r="AF26" s="508">
        <f t="shared" si="8"/>
        <v>0</v>
      </c>
      <c r="AG26" s="508">
        <f t="shared" si="9"/>
        <v>0</v>
      </c>
      <c r="AH26" s="508">
        <f t="shared" si="10"/>
        <v>1000</v>
      </c>
      <c r="AI26" s="508">
        <f t="shared" si="11"/>
        <v>0</v>
      </c>
      <c r="AJ26" s="508">
        <f t="shared" si="12"/>
        <v>145.30000000000001</v>
      </c>
      <c r="AK26" s="508">
        <f t="shared" si="13"/>
        <v>1700</v>
      </c>
      <c r="AL26" s="116">
        <v>8</v>
      </c>
      <c r="AM26" s="486">
        <f t="shared" si="14"/>
        <v>5.77</v>
      </c>
      <c r="AN26" s="117">
        <f t="shared" si="18"/>
        <v>2</v>
      </c>
      <c r="AO26" s="487">
        <f t="shared" si="16"/>
        <v>26</v>
      </c>
      <c r="AP26" s="667">
        <v>10</v>
      </c>
      <c r="AQ26" s="4"/>
      <c r="AR26" s="4"/>
      <c r="AS26" s="4"/>
      <c r="AT26" s="4"/>
      <c r="AU26" s="4"/>
    </row>
    <row r="27" spans="1:47" ht="14.25" customHeight="1">
      <c r="A27" s="701">
        <v>21</v>
      </c>
      <c r="B27" s="477"/>
      <c r="C27" s="477" t="s">
        <v>1169</v>
      </c>
      <c r="D27" s="477" t="s">
        <v>1202</v>
      </c>
      <c r="E27" s="475" t="s">
        <v>1453</v>
      </c>
      <c r="F27" s="474" t="s">
        <v>2061</v>
      </c>
      <c r="G27" s="482" t="s">
        <v>1943</v>
      </c>
      <c r="H27" s="482">
        <v>1</v>
      </c>
      <c r="I27" s="580">
        <v>40964</v>
      </c>
      <c r="J27" s="580">
        <v>40787</v>
      </c>
      <c r="K27" s="581">
        <v>1487.18</v>
      </c>
      <c r="L27" s="581">
        <v>0</v>
      </c>
      <c r="M27" s="582"/>
      <c r="N27" s="582"/>
      <c r="O27" s="582"/>
      <c r="P27" s="582">
        <f t="shared" si="0"/>
        <v>1487.18</v>
      </c>
      <c r="Q27" s="582">
        <f t="shared" si="1"/>
        <v>0</v>
      </c>
      <c r="R27" s="583">
        <f t="shared" si="2"/>
        <v>0</v>
      </c>
      <c r="S27" s="584"/>
      <c r="T27" s="584"/>
      <c r="U27" s="585">
        <f>ROUND(R27*(1-T27/100),0)</f>
        <v>0</v>
      </c>
      <c r="V27" s="586" t="str">
        <f t="shared" si="3"/>
        <v/>
      </c>
      <c r="W27" s="611" t="s">
        <v>2078</v>
      </c>
      <c r="X27" s="619">
        <f t="shared" si="4"/>
        <v>1740</v>
      </c>
      <c r="Y27" s="618"/>
      <c r="Z27" s="617">
        <v>0</v>
      </c>
      <c r="AA27" s="361">
        <f t="shared" si="5"/>
        <v>0</v>
      </c>
      <c r="AB27" s="597"/>
      <c r="AC27" s="485">
        <f t="shared" si="6"/>
        <v>0</v>
      </c>
      <c r="AD27" s="597"/>
      <c r="AE27" s="485">
        <f t="shared" si="7"/>
        <v>0</v>
      </c>
      <c r="AF27" s="508">
        <f t="shared" si="8"/>
        <v>0</v>
      </c>
      <c r="AG27" s="508">
        <f t="shared" si="9"/>
        <v>0</v>
      </c>
      <c r="AH27" s="508">
        <f t="shared" si="10"/>
        <v>0</v>
      </c>
      <c r="AI27" s="508">
        <f t="shared" si="11"/>
        <v>0</v>
      </c>
      <c r="AJ27" s="508">
        <f t="shared" si="12"/>
        <v>0</v>
      </c>
      <c r="AK27" s="508">
        <f t="shared" si="13"/>
        <v>0</v>
      </c>
      <c r="AL27" s="116">
        <v>8</v>
      </c>
      <c r="AM27" s="486">
        <f t="shared" si="14"/>
        <v>6.25</v>
      </c>
      <c r="AN27" s="117">
        <f t="shared" si="18"/>
        <v>2</v>
      </c>
      <c r="AO27" s="487">
        <f t="shared" si="16"/>
        <v>24</v>
      </c>
      <c r="AP27" s="509"/>
    </row>
    <row r="28" spans="1:47" ht="14.25" customHeight="1">
      <c r="A28" s="701">
        <v>22</v>
      </c>
      <c r="B28" s="477"/>
      <c r="C28" s="611" t="s">
        <v>1970</v>
      </c>
      <c r="D28" s="477" t="s">
        <v>1203</v>
      </c>
      <c r="E28" s="475" t="s">
        <v>1453</v>
      </c>
      <c r="F28" s="611" t="s">
        <v>2062</v>
      </c>
      <c r="G28" s="482" t="s">
        <v>1943</v>
      </c>
      <c r="H28" s="482">
        <v>1</v>
      </c>
      <c r="I28" s="580">
        <v>40964</v>
      </c>
      <c r="J28" s="580">
        <v>40964</v>
      </c>
      <c r="K28" s="581">
        <v>1863.25</v>
      </c>
      <c r="L28" s="581">
        <v>0</v>
      </c>
      <c r="M28" s="582"/>
      <c r="N28" s="582"/>
      <c r="O28" s="582"/>
      <c r="P28" s="582">
        <f t="shared" si="0"/>
        <v>1863.25</v>
      </c>
      <c r="Q28" s="582">
        <f t="shared" si="1"/>
        <v>0</v>
      </c>
      <c r="R28" s="583">
        <f t="shared" si="2"/>
        <v>0</v>
      </c>
      <c r="S28" s="584"/>
      <c r="T28" s="584"/>
      <c r="U28" s="585">
        <f>ROUND(R28*(1-T28/100),0)</f>
        <v>0</v>
      </c>
      <c r="V28" s="586" t="str">
        <f t="shared" si="3"/>
        <v/>
      </c>
      <c r="W28" s="611" t="s">
        <v>2074</v>
      </c>
      <c r="X28" s="619">
        <f t="shared" si="4"/>
        <v>2180</v>
      </c>
      <c r="Y28" s="618"/>
      <c r="Z28" s="617">
        <v>0</v>
      </c>
      <c r="AA28" s="361">
        <f t="shared" si="5"/>
        <v>0</v>
      </c>
      <c r="AB28" s="597"/>
      <c r="AC28" s="485">
        <f t="shared" si="6"/>
        <v>0</v>
      </c>
      <c r="AD28" s="597"/>
      <c r="AE28" s="485">
        <f t="shared" si="7"/>
        <v>0</v>
      </c>
      <c r="AF28" s="508">
        <f t="shared" si="8"/>
        <v>0</v>
      </c>
      <c r="AG28" s="508">
        <f t="shared" si="9"/>
        <v>0</v>
      </c>
      <c r="AH28" s="508">
        <f t="shared" si="10"/>
        <v>0</v>
      </c>
      <c r="AI28" s="508">
        <f t="shared" si="11"/>
        <v>0</v>
      </c>
      <c r="AJ28" s="508">
        <f t="shared" si="12"/>
        <v>0</v>
      </c>
      <c r="AK28" s="508">
        <f t="shared" si="13"/>
        <v>0</v>
      </c>
      <c r="AL28" s="116">
        <v>6</v>
      </c>
      <c r="AM28" s="486">
        <f t="shared" si="14"/>
        <v>5.77</v>
      </c>
      <c r="AN28" s="117">
        <f t="shared" si="18"/>
        <v>0</v>
      </c>
      <c r="AO28" s="487">
        <f t="shared" si="16"/>
        <v>0</v>
      </c>
      <c r="AP28" s="509"/>
    </row>
    <row r="29" spans="1:47" ht="14.25" customHeight="1">
      <c r="A29" s="701">
        <v>23</v>
      </c>
      <c r="B29" s="477"/>
      <c r="C29" s="477" t="s">
        <v>1584</v>
      </c>
      <c r="D29" s="477" t="s">
        <v>1204</v>
      </c>
      <c r="E29" s="475" t="s">
        <v>1453</v>
      </c>
      <c r="F29" s="477"/>
      <c r="G29" s="579" t="s">
        <v>1965</v>
      </c>
      <c r="H29" s="482">
        <v>1</v>
      </c>
      <c r="I29" s="580">
        <v>40964</v>
      </c>
      <c r="J29" s="580">
        <v>40964</v>
      </c>
      <c r="K29" s="581">
        <v>3572.65</v>
      </c>
      <c r="L29" s="581">
        <v>0</v>
      </c>
      <c r="M29" s="582"/>
      <c r="N29" s="582"/>
      <c r="O29" s="582"/>
      <c r="P29" s="582">
        <f t="shared" si="0"/>
        <v>3572.65</v>
      </c>
      <c r="Q29" s="582">
        <f t="shared" si="1"/>
        <v>0</v>
      </c>
      <c r="R29" s="583">
        <f t="shared" si="2"/>
        <v>3400</v>
      </c>
      <c r="S29" s="668">
        <f>AP29</f>
        <v>10</v>
      </c>
      <c r="T29" s="584"/>
      <c r="U29" s="585">
        <f>IF(S29="",R29,ROUND(R29*S29/100,0))</f>
        <v>340</v>
      </c>
      <c r="V29" s="586" t="str">
        <f t="shared" si="3"/>
        <v/>
      </c>
      <c r="W29" s="477"/>
      <c r="X29" s="619">
        <f t="shared" si="4"/>
        <v>4180</v>
      </c>
      <c r="Y29" s="618"/>
      <c r="Z29" s="489">
        <v>4000</v>
      </c>
      <c r="AA29" s="361">
        <f t="shared" si="5"/>
        <v>3418.8</v>
      </c>
      <c r="AB29" s="597"/>
      <c r="AC29" s="485">
        <f t="shared" si="6"/>
        <v>0</v>
      </c>
      <c r="AD29" s="597"/>
      <c r="AE29" s="485">
        <f t="shared" si="7"/>
        <v>0</v>
      </c>
      <c r="AF29" s="508">
        <f t="shared" si="8"/>
        <v>0</v>
      </c>
      <c r="AG29" s="508">
        <f t="shared" si="9"/>
        <v>0</v>
      </c>
      <c r="AH29" s="508">
        <f t="shared" si="10"/>
        <v>4000</v>
      </c>
      <c r="AI29" s="508">
        <f t="shared" si="11"/>
        <v>0</v>
      </c>
      <c r="AJ29" s="508">
        <f t="shared" si="12"/>
        <v>581.20000000000005</v>
      </c>
      <c r="AK29" s="508">
        <f t="shared" si="13"/>
        <v>3400</v>
      </c>
      <c r="AL29" s="116">
        <v>8</v>
      </c>
      <c r="AM29" s="486">
        <f t="shared" si="14"/>
        <v>5.77</v>
      </c>
      <c r="AN29" s="117">
        <f t="shared" si="18"/>
        <v>2</v>
      </c>
      <c r="AO29" s="487">
        <f t="shared" si="16"/>
        <v>26</v>
      </c>
      <c r="AP29" s="667">
        <v>10</v>
      </c>
    </row>
    <row r="30" spans="1:47" ht="14.25" customHeight="1">
      <c r="A30" s="701">
        <v>24</v>
      </c>
      <c r="B30" s="477"/>
      <c r="C30" s="477" t="s">
        <v>1170</v>
      </c>
      <c r="D30" s="477" t="s">
        <v>1205</v>
      </c>
      <c r="E30" s="475" t="s">
        <v>1453</v>
      </c>
      <c r="F30" s="477"/>
      <c r="G30" s="482" t="s">
        <v>1943</v>
      </c>
      <c r="H30" s="482">
        <v>1</v>
      </c>
      <c r="I30" s="580">
        <v>40964</v>
      </c>
      <c r="J30" s="580">
        <v>40964</v>
      </c>
      <c r="K30" s="581">
        <v>10940.17</v>
      </c>
      <c r="L30" s="581">
        <v>1914.58</v>
      </c>
      <c r="M30" s="582"/>
      <c r="N30" s="582"/>
      <c r="O30" s="582"/>
      <c r="P30" s="582">
        <f t="shared" si="0"/>
        <v>10940.17</v>
      </c>
      <c r="Q30" s="582">
        <f t="shared" si="1"/>
        <v>1914.58</v>
      </c>
      <c r="R30" s="583">
        <f t="shared" si="2"/>
        <v>200</v>
      </c>
      <c r="S30" s="584"/>
      <c r="T30" s="584"/>
      <c r="U30" s="585">
        <f>ROUND(R30*(1-T30/100),0)</f>
        <v>200</v>
      </c>
      <c r="V30" s="586">
        <f t="shared" si="3"/>
        <v>-89.55</v>
      </c>
      <c r="W30" s="611" t="s">
        <v>2074</v>
      </c>
      <c r="X30" s="619">
        <f t="shared" si="4"/>
        <v>12800</v>
      </c>
      <c r="Y30" s="618"/>
      <c r="Z30" s="617">
        <v>200</v>
      </c>
      <c r="AA30" s="361">
        <f t="shared" si="5"/>
        <v>170.94</v>
      </c>
      <c r="AB30" s="597"/>
      <c r="AC30" s="485">
        <f t="shared" si="6"/>
        <v>0</v>
      </c>
      <c r="AD30" s="597"/>
      <c r="AE30" s="485">
        <f t="shared" si="7"/>
        <v>0</v>
      </c>
      <c r="AF30" s="508">
        <f t="shared" si="8"/>
        <v>0</v>
      </c>
      <c r="AG30" s="508">
        <f t="shared" si="9"/>
        <v>0</v>
      </c>
      <c r="AH30" s="508">
        <f t="shared" si="10"/>
        <v>200</v>
      </c>
      <c r="AI30" s="508">
        <f t="shared" si="11"/>
        <v>0</v>
      </c>
      <c r="AJ30" s="508">
        <f t="shared" si="12"/>
        <v>29.06</v>
      </c>
      <c r="AK30" s="508">
        <f t="shared" si="13"/>
        <v>200</v>
      </c>
      <c r="AL30" s="116">
        <v>10</v>
      </c>
      <c r="AM30" s="486">
        <f t="shared" si="14"/>
        <v>5.77</v>
      </c>
      <c r="AN30" s="117">
        <f t="shared" si="18"/>
        <v>4</v>
      </c>
      <c r="AO30" s="487">
        <f t="shared" si="16"/>
        <v>41</v>
      </c>
      <c r="AP30" s="509"/>
    </row>
    <row r="31" spans="1:47" ht="14.25" customHeight="1">
      <c r="A31" s="701">
        <v>25</v>
      </c>
      <c r="B31" s="477"/>
      <c r="C31" s="477" t="s">
        <v>1171</v>
      </c>
      <c r="D31" s="477" t="s">
        <v>1206</v>
      </c>
      <c r="E31" s="475" t="s">
        <v>1453</v>
      </c>
      <c r="F31" s="477"/>
      <c r="G31" s="482" t="s">
        <v>1943</v>
      </c>
      <c r="H31" s="482">
        <v>1</v>
      </c>
      <c r="I31" s="580">
        <v>40964</v>
      </c>
      <c r="J31" s="580">
        <v>40964</v>
      </c>
      <c r="K31" s="581">
        <v>25213.68</v>
      </c>
      <c r="L31" s="581">
        <v>4412.3100000000004</v>
      </c>
      <c r="M31" s="582"/>
      <c r="N31" s="582"/>
      <c r="O31" s="582"/>
      <c r="P31" s="582">
        <f t="shared" si="0"/>
        <v>25213.68</v>
      </c>
      <c r="Q31" s="582">
        <f t="shared" si="1"/>
        <v>4412.3100000000004</v>
      </c>
      <c r="R31" s="583">
        <f t="shared" si="2"/>
        <v>100</v>
      </c>
      <c r="S31" s="584"/>
      <c r="T31" s="584"/>
      <c r="U31" s="585">
        <f>ROUND(R31*(1-T31/100),0)</f>
        <v>100</v>
      </c>
      <c r="V31" s="586">
        <f t="shared" si="3"/>
        <v>-97.73</v>
      </c>
      <c r="W31" s="611" t="s">
        <v>2074</v>
      </c>
      <c r="X31" s="619">
        <f t="shared" si="4"/>
        <v>29500.01</v>
      </c>
      <c r="Y31" s="618"/>
      <c r="Z31" s="617">
        <v>100</v>
      </c>
      <c r="AA31" s="361">
        <f t="shared" si="5"/>
        <v>85.47</v>
      </c>
      <c r="AB31" s="597"/>
      <c r="AC31" s="485">
        <f t="shared" si="6"/>
        <v>0</v>
      </c>
      <c r="AD31" s="597"/>
      <c r="AE31" s="485">
        <f t="shared" si="7"/>
        <v>0</v>
      </c>
      <c r="AF31" s="508">
        <f t="shared" si="8"/>
        <v>0</v>
      </c>
      <c r="AG31" s="508">
        <f t="shared" si="9"/>
        <v>0</v>
      </c>
      <c r="AH31" s="508">
        <f t="shared" si="10"/>
        <v>100</v>
      </c>
      <c r="AI31" s="508">
        <f t="shared" si="11"/>
        <v>0</v>
      </c>
      <c r="AJ31" s="508">
        <f t="shared" si="12"/>
        <v>14.53</v>
      </c>
      <c r="AK31" s="508">
        <f t="shared" si="13"/>
        <v>100</v>
      </c>
      <c r="AL31" s="116">
        <v>6</v>
      </c>
      <c r="AM31" s="486">
        <f t="shared" si="14"/>
        <v>5.77</v>
      </c>
      <c r="AN31" s="117">
        <f t="shared" si="18"/>
        <v>0</v>
      </c>
      <c r="AO31" s="487">
        <f t="shared" si="16"/>
        <v>0</v>
      </c>
      <c r="AP31" s="509"/>
    </row>
    <row r="32" spans="1:47" ht="14.25" customHeight="1">
      <c r="A32" s="701">
        <v>26</v>
      </c>
      <c r="B32" s="477"/>
      <c r="C32" s="477" t="s">
        <v>1769</v>
      </c>
      <c r="D32" s="477" t="s">
        <v>1207</v>
      </c>
      <c r="E32" s="475" t="s">
        <v>1453</v>
      </c>
      <c r="F32" s="477"/>
      <c r="G32" s="482" t="s">
        <v>1944</v>
      </c>
      <c r="H32" s="482">
        <v>1</v>
      </c>
      <c r="I32" s="580">
        <v>40964</v>
      </c>
      <c r="J32" s="580">
        <v>40964</v>
      </c>
      <c r="K32" s="581">
        <v>2350.4299999999998</v>
      </c>
      <c r="L32" s="581">
        <v>0</v>
      </c>
      <c r="M32" s="582"/>
      <c r="N32" s="582"/>
      <c r="O32" s="582"/>
      <c r="P32" s="582">
        <f t="shared" si="0"/>
        <v>2350.4299999999998</v>
      </c>
      <c r="Q32" s="582">
        <f t="shared" si="1"/>
        <v>0</v>
      </c>
      <c r="R32" s="583">
        <f t="shared" si="2"/>
        <v>2200</v>
      </c>
      <c r="S32" s="668">
        <f t="shared" ref="S32:S43" si="19">AP32</f>
        <v>10</v>
      </c>
      <c r="T32" s="584"/>
      <c r="U32" s="585">
        <f>IF(S32="",R32,ROUND(R32*S32/100,0))</f>
        <v>220</v>
      </c>
      <c r="V32" s="586" t="str">
        <f t="shared" si="3"/>
        <v/>
      </c>
      <c r="W32" s="477"/>
      <c r="X32" s="619">
        <f t="shared" si="4"/>
        <v>2750</v>
      </c>
      <c r="Y32" s="618"/>
      <c r="Z32" s="489">
        <v>2600</v>
      </c>
      <c r="AA32" s="361">
        <f t="shared" si="5"/>
        <v>2222.2199999999998</v>
      </c>
      <c r="AB32" s="597"/>
      <c r="AC32" s="485">
        <f t="shared" si="6"/>
        <v>0</v>
      </c>
      <c r="AD32" s="597"/>
      <c r="AE32" s="485">
        <f t="shared" si="7"/>
        <v>0</v>
      </c>
      <c r="AF32" s="508">
        <f t="shared" si="8"/>
        <v>0</v>
      </c>
      <c r="AG32" s="508">
        <f t="shared" si="9"/>
        <v>0</v>
      </c>
      <c r="AH32" s="508">
        <f t="shared" si="10"/>
        <v>2600</v>
      </c>
      <c r="AI32" s="508">
        <f t="shared" si="11"/>
        <v>0</v>
      </c>
      <c r="AJ32" s="508">
        <f t="shared" si="12"/>
        <v>377.78</v>
      </c>
      <c r="AK32" s="508">
        <f t="shared" si="13"/>
        <v>2200</v>
      </c>
      <c r="AL32" s="116">
        <v>8</v>
      </c>
      <c r="AM32" s="486">
        <f t="shared" si="14"/>
        <v>5.77</v>
      </c>
      <c r="AN32" s="117">
        <f t="shared" si="18"/>
        <v>2</v>
      </c>
      <c r="AO32" s="487">
        <f t="shared" si="16"/>
        <v>26</v>
      </c>
      <c r="AP32" s="667">
        <v>10</v>
      </c>
    </row>
    <row r="33" spans="1:42" ht="14.25" customHeight="1">
      <c r="A33" s="701">
        <v>27</v>
      </c>
      <c r="B33" s="477"/>
      <c r="C33" s="477" t="s">
        <v>1172</v>
      </c>
      <c r="D33" s="477" t="s">
        <v>1208</v>
      </c>
      <c r="E33" s="475" t="s">
        <v>1453</v>
      </c>
      <c r="F33" s="474" t="s">
        <v>2063</v>
      </c>
      <c r="G33" s="482" t="s">
        <v>1943</v>
      </c>
      <c r="H33" s="482">
        <v>1</v>
      </c>
      <c r="I33" s="580">
        <v>40964</v>
      </c>
      <c r="J33" s="580">
        <v>40756</v>
      </c>
      <c r="K33" s="581">
        <v>6623.93</v>
      </c>
      <c r="L33" s="581">
        <v>1159.19</v>
      </c>
      <c r="M33" s="582"/>
      <c r="N33" s="582"/>
      <c r="O33" s="582"/>
      <c r="P33" s="582">
        <f t="shared" si="0"/>
        <v>6623.93</v>
      </c>
      <c r="Q33" s="582">
        <f t="shared" si="1"/>
        <v>1159.19</v>
      </c>
      <c r="R33" s="583">
        <f t="shared" si="2"/>
        <v>6500</v>
      </c>
      <c r="S33" s="668">
        <f t="shared" si="19"/>
        <v>10</v>
      </c>
      <c r="T33" s="584"/>
      <c r="U33" s="585">
        <f>IF(S33="",R33,ROUND(R33*S33/100,0))</f>
        <v>650</v>
      </c>
      <c r="V33" s="586">
        <f t="shared" si="3"/>
        <v>-43.93</v>
      </c>
      <c r="W33" s="477"/>
      <c r="X33" s="619">
        <f t="shared" si="4"/>
        <v>7750</v>
      </c>
      <c r="Y33" s="618"/>
      <c r="Z33" s="489">
        <v>7600</v>
      </c>
      <c r="AA33" s="361">
        <f t="shared" si="5"/>
        <v>6495.73</v>
      </c>
      <c r="AB33" s="597"/>
      <c r="AC33" s="485">
        <f t="shared" si="6"/>
        <v>0</v>
      </c>
      <c r="AD33" s="597"/>
      <c r="AE33" s="485">
        <f t="shared" si="7"/>
        <v>0</v>
      </c>
      <c r="AF33" s="508">
        <f t="shared" si="8"/>
        <v>0</v>
      </c>
      <c r="AG33" s="508">
        <f t="shared" si="9"/>
        <v>0</v>
      </c>
      <c r="AH33" s="508">
        <f t="shared" si="10"/>
        <v>7600</v>
      </c>
      <c r="AI33" s="508">
        <f t="shared" si="11"/>
        <v>0</v>
      </c>
      <c r="AJ33" s="508">
        <f t="shared" si="12"/>
        <v>1104.27</v>
      </c>
      <c r="AK33" s="508">
        <f t="shared" si="13"/>
        <v>6500</v>
      </c>
      <c r="AL33" s="116">
        <v>8</v>
      </c>
      <c r="AM33" s="486">
        <f t="shared" si="14"/>
        <v>6.34</v>
      </c>
      <c r="AN33" s="117">
        <f t="shared" si="18"/>
        <v>2</v>
      </c>
      <c r="AO33" s="487">
        <f t="shared" si="16"/>
        <v>24</v>
      </c>
      <c r="AP33" s="667">
        <v>10</v>
      </c>
    </row>
    <row r="34" spans="1:42" ht="14.25" customHeight="1">
      <c r="A34" s="701">
        <v>28</v>
      </c>
      <c r="B34" s="477"/>
      <c r="C34" s="477" t="s">
        <v>1173</v>
      </c>
      <c r="D34" s="477" t="s">
        <v>1209</v>
      </c>
      <c r="E34" s="475" t="s">
        <v>1453</v>
      </c>
      <c r="F34" s="474" t="s">
        <v>2064</v>
      </c>
      <c r="G34" s="482" t="s">
        <v>1943</v>
      </c>
      <c r="H34" s="482">
        <v>1</v>
      </c>
      <c r="I34" s="580">
        <v>40964</v>
      </c>
      <c r="J34" s="580">
        <v>40695</v>
      </c>
      <c r="K34" s="581">
        <v>2008.55</v>
      </c>
      <c r="L34" s="581">
        <v>0</v>
      </c>
      <c r="M34" s="582"/>
      <c r="N34" s="582"/>
      <c r="O34" s="582"/>
      <c r="P34" s="582">
        <f t="shared" si="0"/>
        <v>2008.55</v>
      </c>
      <c r="Q34" s="582">
        <f t="shared" si="1"/>
        <v>0</v>
      </c>
      <c r="R34" s="583">
        <f t="shared" si="2"/>
        <v>2000</v>
      </c>
      <c r="S34" s="668">
        <f t="shared" si="19"/>
        <v>10</v>
      </c>
      <c r="T34" s="584"/>
      <c r="U34" s="585">
        <f t="shared" ref="U34:U43" si="20">IF(S34="",R34,ROUND(R34*(S34-T34)/100,0))</f>
        <v>200</v>
      </c>
      <c r="V34" s="586" t="str">
        <f t="shared" si="3"/>
        <v/>
      </c>
      <c r="W34" s="477"/>
      <c r="X34" s="619">
        <f t="shared" si="4"/>
        <v>2350</v>
      </c>
      <c r="Y34" s="618"/>
      <c r="Z34" s="489">
        <v>2300</v>
      </c>
      <c r="AA34" s="361">
        <f t="shared" si="5"/>
        <v>1965.81</v>
      </c>
      <c r="AB34" s="597"/>
      <c r="AC34" s="485">
        <f t="shared" si="6"/>
        <v>0</v>
      </c>
      <c r="AD34" s="597"/>
      <c r="AE34" s="485">
        <f t="shared" si="7"/>
        <v>0</v>
      </c>
      <c r="AF34" s="508">
        <f t="shared" si="8"/>
        <v>0</v>
      </c>
      <c r="AG34" s="508">
        <f t="shared" si="9"/>
        <v>0</v>
      </c>
      <c r="AH34" s="508">
        <f t="shared" si="10"/>
        <v>2300</v>
      </c>
      <c r="AI34" s="508">
        <f t="shared" si="11"/>
        <v>0</v>
      </c>
      <c r="AJ34" s="508">
        <f t="shared" si="12"/>
        <v>334.19</v>
      </c>
      <c r="AK34" s="508">
        <f t="shared" si="13"/>
        <v>2000</v>
      </c>
      <c r="AL34" s="116">
        <v>8</v>
      </c>
      <c r="AM34" s="486">
        <f t="shared" si="14"/>
        <v>6.5</v>
      </c>
      <c r="AN34" s="117">
        <f t="shared" si="18"/>
        <v>2</v>
      </c>
      <c r="AO34" s="487">
        <f t="shared" si="16"/>
        <v>24</v>
      </c>
      <c r="AP34" s="667">
        <v>10</v>
      </c>
    </row>
    <row r="35" spans="1:42" ht="14.25" customHeight="1">
      <c r="A35" s="701">
        <v>29</v>
      </c>
      <c r="B35" s="477"/>
      <c r="C35" s="477" t="s">
        <v>1174</v>
      </c>
      <c r="D35" s="477" t="s">
        <v>1211</v>
      </c>
      <c r="E35" s="475" t="s">
        <v>1453</v>
      </c>
      <c r="F35" s="611" t="s">
        <v>2066</v>
      </c>
      <c r="G35" s="579" t="s">
        <v>1967</v>
      </c>
      <c r="H35" s="482">
        <v>2</v>
      </c>
      <c r="I35" s="580">
        <v>41084</v>
      </c>
      <c r="J35" s="580">
        <v>41084</v>
      </c>
      <c r="K35" s="581">
        <v>6088.97</v>
      </c>
      <c r="L35" s="581">
        <v>0</v>
      </c>
      <c r="M35" s="582"/>
      <c r="N35" s="582"/>
      <c r="O35" s="582"/>
      <c r="P35" s="582">
        <f t="shared" si="0"/>
        <v>6088.97</v>
      </c>
      <c r="Q35" s="582">
        <f t="shared" si="1"/>
        <v>0</v>
      </c>
      <c r="R35" s="583">
        <f t="shared" si="2"/>
        <v>5500</v>
      </c>
      <c r="S35" s="668">
        <f t="shared" si="19"/>
        <v>22</v>
      </c>
      <c r="T35" s="584">
        <v>4</v>
      </c>
      <c r="U35" s="585">
        <f t="shared" si="20"/>
        <v>990</v>
      </c>
      <c r="V35" s="586" t="str">
        <f t="shared" si="3"/>
        <v/>
      </c>
      <c r="W35" s="477"/>
      <c r="X35" s="619">
        <f t="shared" si="4"/>
        <v>3562.05</v>
      </c>
      <c r="Y35" s="618"/>
      <c r="Z35" s="489">
        <v>3200</v>
      </c>
      <c r="AA35" s="361">
        <f t="shared" si="5"/>
        <v>2735.04</v>
      </c>
      <c r="AB35" s="597"/>
      <c r="AC35" s="485">
        <f t="shared" si="6"/>
        <v>0</v>
      </c>
      <c r="AD35" s="597"/>
      <c r="AE35" s="485">
        <f t="shared" si="7"/>
        <v>0</v>
      </c>
      <c r="AF35" s="508">
        <f t="shared" si="8"/>
        <v>0</v>
      </c>
      <c r="AG35" s="508">
        <f t="shared" si="9"/>
        <v>0</v>
      </c>
      <c r="AH35" s="508">
        <f t="shared" si="10"/>
        <v>3200</v>
      </c>
      <c r="AI35" s="508">
        <f t="shared" si="11"/>
        <v>0</v>
      </c>
      <c r="AJ35" s="508">
        <f t="shared" si="12"/>
        <v>464.96</v>
      </c>
      <c r="AK35" s="508">
        <f t="shared" si="13"/>
        <v>5500</v>
      </c>
      <c r="AL35" s="116">
        <v>14</v>
      </c>
      <c r="AM35" s="486">
        <f t="shared" si="14"/>
        <v>5.44</v>
      </c>
      <c r="AN35" s="117">
        <f t="shared" si="18"/>
        <v>9</v>
      </c>
      <c r="AO35" s="487">
        <f t="shared" si="16"/>
        <v>62</v>
      </c>
      <c r="AP35" s="509">
        <f t="shared" ref="AP35:AP43" si="21">AO35*AP$4</f>
        <v>22</v>
      </c>
    </row>
    <row r="36" spans="1:42" ht="14.25" customHeight="1">
      <c r="A36" s="701">
        <v>30</v>
      </c>
      <c r="B36" s="477"/>
      <c r="C36" s="477" t="s">
        <v>1992</v>
      </c>
      <c r="D36" s="477" t="s">
        <v>1212</v>
      </c>
      <c r="E36" s="475" t="s">
        <v>1453</v>
      </c>
      <c r="F36" s="611" t="s">
        <v>2066</v>
      </c>
      <c r="G36" s="579" t="s">
        <v>1967</v>
      </c>
      <c r="H36" s="482">
        <v>1</v>
      </c>
      <c r="I36" s="580">
        <v>41084</v>
      </c>
      <c r="J36" s="580">
        <v>41084</v>
      </c>
      <c r="K36" s="581">
        <v>50834.79</v>
      </c>
      <c r="L36" s="581">
        <v>4344.8500000000004</v>
      </c>
      <c r="M36" s="582"/>
      <c r="N36" s="582"/>
      <c r="O36" s="582"/>
      <c r="P36" s="582">
        <f t="shared" si="0"/>
        <v>50834.79</v>
      </c>
      <c r="Q36" s="582">
        <f t="shared" si="1"/>
        <v>4344.8500000000004</v>
      </c>
      <c r="R36" s="583">
        <f t="shared" si="2"/>
        <v>46300</v>
      </c>
      <c r="S36" s="668">
        <f t="shared" si="19"/>
        <v>23</v>
      </c>
      <c r="T36" s="584">
        <v>4</v>
      </c>
      <c r="U36" s="585">
        <f t="shared" si="20"/>
        <v>8797</v>
      </c>
      <c r="V36" s="586">
        <f t="shared" si="3"/>
        <v>102.47</v>
      </c>
      <c r="W36" s="611"/>
      <c r="X36" s="619">
        <f t="shared" si="4"/>
        <v>59476.7</v>
      </c>
      <c r="Y36" s="618"/>
      <c r="Z36" s="489">
        <v>54200</v>
      </c>
      <c r="AA36" s="361">
        <f t="shared" si="5"/>
        <v>46324.79</v>
      </c>
      <c r="AB36" s="597"/>
      <c r="AC36" s="485">
        <f t="shared" si="6"/>
        <v>0</v>
      </c>
      <c r="AD36" s="597"/>
      <c r="AE36" s="485">
        <f t="shared" si="7"/>
        <v>0</v>
      </c>
      <c r="AF36" s="508">
        <f t="shared" si="8"/>
        <v>0</v>
      </c>
      <c r="AG36" s="508">
        <f t="shared" si="9"/>
        <v>0</v>
      </c>
      <c r="AH36" s="508">
        <f t="shared" si="10"/>
        <v>54200</v>
      </c>
      <c r="AI36" s="508">
        <f t="shared" si="11"/>
        <v>0</v>
      </c>
      <c r="AJ36" s="508">
        <f t="shared" si="12"/>
        <v>7875.21</v>
      </c>
      <c r="AK36" s="508">
        <f t="shared" si="13"/>
        <v>46300</v>
      </c>
      <c r="AL36" s="116">
        <v>16</v>
      </c>
      <c r="AM36" s="486">
        <f t="shared" si="14"/>
        <v>5.44</v>
      </c>
      <c r="AN36" s="117">
        <f t="shared" si="18"/>
        <v>11</v>
      </c>
      <c r="AO36" s="487">
        <f t="shared" si="16"/>
        <v>67</v>
      </c>
      <c r="AP36" s="509">
        <f t="shared" si="21"/>
        <v>23</v>
      </c>
    </row>
    <row r="37" spans="1:42" ht="14.25" customHeight="1">
      <c r="A37" s="701">
        <v>31</v>
      </c>
      <c r="B37" s="477"/>
      <c r="C37" s="477" t="s">
        <v>1991</v>
      </c>
      <c r="D37" s="477" t="s">
        <v>1212</v>
      </c>
      <c r="E37" s="475" t="s">
        <v>1453</v>
      </c>
      <c r="F37" s="611" t="s">
        <v>2066</v>
      </c>
      <c r="G37" s="579" t="s">
        <v>1967</v>
      </c>
      <c r="H37" s="482">
        <v>1</v>
      </c>
      <c r="I37" s="580">
        <v>41084</v>
      </c>
      <c r="J37" s="580">
        <v>41084</v>
      </c>
      <c r="K37" s="581">
        <v>42256.36</v>
      </c>
      <c r="L37" s="581">
        <v>3611.65</v>
      </c>
      <c r="M37" s="582"/>
      <c r="N37" s="582"/>
      <c r="O37" s="582"/>
      <c r="P37" s="582">
        <f t="shared" si="0"/>
        <v>42256.36</v>
      </c>
      <c r="Q37" s="582">
        <f t="shared" si="1"/>
        <v>3611.65</v>
      </c>
      <c r="R37" s="583">
        <f t="shared" si="2"/>
        <v>34200</v>
      </c>
      <c r="S37" s="668">
        <f t="shared" si="19"/>
        <v>23</v>
      </c>
      <c r="T37" s="584">
        <v>4</v>
      </c>
      <c r="U37" s="585">
        <f t="shared" si="20"/>
        <v>6498</v>
      </c>
      <c r="V37" s="586">
        <f t="shared" si="3"/>
        <v>79.92</v>
      </c>
      <c r="W37" s="611"/>
      <c r="X37" s="619">
        <f t="shared" si="4"/>
        <v>49439.94</v>
      </c>
      <c r="Y37" s="618"/>
      <c r="Z37" s="489">
        <v>40000</v>
      </c>
      <c r="AA37" s="361">
        <f t="shared" si="5"/>
        <v>34188.03</v>
      </c>
      <c r="AB37" s="597"/>
      <c r="AC37" s="485">
        <f t="shared" si="6"/>
        <v>0</v>
      </c>
      <c r="AD37" s="597"/>
      <c r="AE37" s="485">
        <f t="shared" si="7"/>
        <v>0</v>
      </c>
      <c r="AF37" s="508">
        <f t="shared" si="8"/>
        <v>0</v>
      </c>
      <c r="AG37" s="508">
        <f t="shared" si="9"/>
        <v>0</v>
      </c>
      <c r="AH37" s="508">
        <f t="shared" si="10"/>
        <v>40000</v>
      </c>
      <c r="AI37" s="508">
        <f t="shared" si="11"/>
        <v>0</v>
      </c>
      <c r="AJ37" s="508">
        <f t="shared" si="12"/>
        <v>5811.97</v>
      </c>
      <c r="AK37" s="508">
        <f t="shared" si="13"/>
        <v>34200</v>
      </c>
      <c r="AL37" s="116">
        <v>16</v>
      </c>
      <c r="AM37" s="486">
        <f t="shared" si="14"/>
        <v>5.44</v>
      </c>
      <c r="AN37" s="117">
        <f t="shared" si="18"/>
        <v>11</v>
      </c>
      <c r="AO37" s="487">
        <f t="shared" si="16"/>
        <v>67</v>
      </c>
      <c r="AP37" s="509">
        <f t="shared" si="21"/>
        <v>23</v>
      </c>
    </row>
    <row r="38" spans="1:42" ht="14.25" customHeight="1">
      <c r="A38" s="701">
        <v>32</v>
      </c>
      <c r="B38" s="477"/>
      <c r="C38" s="477" t="s">
        <v>2081</v>
      </c>
      <c r="D38" s="477" t="s">
        <v>1210</v>
      </c>
      <c r="E38" s="475" t="s">
        <v>1453</v>
      </c>
      <c r="F38" s="611" t="s">
        <v>2020</v>
      </c>
      <c r="G38" s="579" t="s">
        <v>1967</v>
      </c>
      <c r="H38" s="482">
        <v>1</v>
      </c>
      <c r="I38" s="580">
        <v>41084</v>
      </c>
      <c r="J38" s="580">
        <v>41084</v>
      </c>
      <c r="K38" s="581">
        <v>58810.02</v>
      </c>
      <c r="L38" s="581">
        <v>5026.5</v>
      </c>
      <c r="M38" s="582"/>
      <c r="N38" s="582"/>
      <c r="O38" s="582"/>
      <c r="P38" s="582">
        <f t="shared" si="0"/>
        <v>58810.02</v>
      </c>
      <c r="Q38" s="582">
        <f t="shared" si="1"/>
        <v>5026.5</v>
      </c>
      <c r="R38" s="583">
        <f t="shared" si="2"/>
        <v>53600</v>
      </c>
      <c r="S38" s="668">
        <f t="shared" si="19"/>
        <v>23</v>
      </c>
      <c r="T38" s="584">
        <v>4</v>
      </c>
      <c r="U38" s="585">
        <f t="shared" si="20"/>
        <v>10184</v>
      </c>
      <c r="V38" s="586">
        <f t="shared" si="3"/>
        <v>102.61</v>
      </c>
      <c r="W38" s="611"/>
      <c r="X38" s="619">
        <f t="shared" si="4"/>
        <v>68807.72</v>
      </c>
      <c r="Y38" s="618"/>
      <c r="Z38" s="489">
        <v>62700</v>
      </c>
      <c r="AA38" s="361">
        <f t="shared" si="5"/>
        <v>53589.74</v>
      </c>
      <c r="AB38" s="597"/>
      <c r="AC38" s="485">
        <f t="shared" si="6"/>
        <v>0</v>
      </c>
      <c r="AD38" s="597"/>
      <c r="AE38" s="485">
        <f t="shared" si="7"/>
        <v>0</v>
      </c>
      <c r="AF38" s="508">
        <f t="shared" si="8"/>
        <v>0</v>
      </c>
      <c r="AG38" s="508">
        <f t="shared" si="9"/>
        <v>0</v>
      </c>
      <c r="AH38" s="508">
        <f t="shared" si="10"/>
        <v>62700</v>
      </c>
      <c r="AI38" s="508">
        <f t="shared" si="11"/>
        <v>0</v>
      </c>
      <c r="AJ38" s="508">
        <f t="shared" si="12"/>
        <v>9110.26</v>
      </c>
      <c r="AK38" s="508">
        <f t="shared" si="13"/>
        <v>53600</v>
      </c>
      <c r="AL38" s="116">
        <v>16</v>
      </c>
      <c r="AM38" s="486">
        <f t="shared" si="14"/>
        <v>5.44</v>
      </c>
      <c r="AN38" s="117">
        <f t="shared" si="18"/>
        <v>11</v>
      </c>
      <c r="AO38" s="487">
        <f t="shared" si="16"/>
        <v>67</v>
      </c>
      <c r="AP38" s="509">
        <f t="shared" si="21"/>
        <v>23</v>
      </c>
    </row>
    <row r="39" spans="1:42" ht="14.25" customHeight="1">
      <c r="A39" s="701">
        <v>33</v>
      </c>
      <c r="B39" s="477"/>
      <c r="C39" s="477" t="s">
        <v>2082</v>
      </c>
      <c r="D39" s="477" t="s">
        <v>1210</v>
      </c>
      <c r="E39" s="475" t="s">
        <v>1453</v>
      </c>
      <c r="F39" s="611" t="s">
        <v>2020</v>
      </c>
      <c r="G39" s="579" t="s">
        <v>1967</v>
      </c>
      <c r="H39" s="482">
        <v>1</v>
      </c>
      <c r="I39" s="580">
        <v>41084</v>
      </c>
      <c r="J39" s="580">
        <v>41084</v>
      </c>
      <c r="K39" s="581">
        <v>58810.02</v>
      </c>
      <c r="L39" s="581">
        <v>5026.5</v>
      </c>
      <c r="M39" s="582"/>
      <c r="N39" s="582"/>
      <c r="O39" s="582"/>
      <c r="P39" s="582">
        <f t="shared" si="0"/>
        <v>58810.02</v>
      </c>
      <c r="Q39" s="582">
        <f t="shared" si="1"/>
        <v>5026.5</v>
      </c>
      <c r="R39" s="583">
        <f t="shared" si="2"/>
        <v>53600</v>
      </c>
      <c r="S39" s="668">
        <f t="shared" si="19"/>
        <v>23</v>
      </c>
      <c r="T39" s="584">
        <v>4</v>
      </c>
      <c r="U39" s="585">
        <f t="shared" si="20"/>
        <v>10184</v>
      </c>
      <c r="V39" s="586">
        <f t="shared" si="3"/>
        <v>102.61</v>
      </c>
      <c r="W39" s="611"/>
      <c r="X39" s="619">
        <f t="shared" ref="X39:X55" si="22">P39*1.17/H39</f>
        <v>68807.72</v>
      </c>
      <c r="Y39" s="618"/>
      <c r="Z39" s="489">
        <v>62700</v>
      </c>
      <c r="AA39" s="361">
        <f t="shared" si="5"/>
        <v>53589.74</v>
      </c>
      <c r="AB39" s="597"/>
      <c r="AC39" s="485">
        <f t="shared" si="6"/>
        <v>0</v>
      </c>
      <c r="AD39" s="597"/>
      <c r="AE39" s="485">
        <f t="shared" si="7"/>
        <v>0</v>
      </c>
      <c r="AF39" s="508">
        <f t="shared" si="8"/>
        <v>0</v>
      </c>
      <c r="AG39" s="508">
        <f t="shared" si="9"/>
        <v>0</v>
      </c>
      <c r="AH39" s="508">
        <f t="shared" si="10"/>
        <v>62700</v>
      </c>
      <c r="AI39" s="508">
        <f t="shared" si="11"/>
        <v>0</v>
      </c>
      <c r="AJ39" s="508">
        <f t="shared" si="12"/>
        <v>9110.26</v>
      </c>
      <c r="AK39" s="508">
        <f t="shared" si="13"/>
        <v>53600</v>
      </c>
      <c r="AL39" s="116">
        <v>16</v>
      </c>
      <c r="AM39" s="486">
        <f t="shared" si="14"/>
        <v>5.44</v>
      </c>
      <c r="AN39" s="117">
        <f t="shared" si="18"/>
        <v>11</v>
      </c>
      <c r="AO39" s="487">
        <f t="shared" si="16"/>
        <v>67</v>
      </c>
      <c r="AP39" s="509">
        <f t="shared" si="21"/>
        <v>23</v>
      </c>
    </row>
    <row r="40" spans="1:42" ht="14.25" customHeight="1">
      <c r="A40" s="701">
        <v>34</v>
      </c>
      <c r="B40" s="477"/>
      <c r="C40" s="477" t="s">
        <v>1713</v>
      </c>
      <c r="D40" s="477" t="s">
        <v>1213</v>
      </c>
      <c r="E40" s="475" t="s">
        <v>1453</v>
      </c>
      <c r="F40" s="611" t="s">
        <v>2020</v>
      </c>
      <c r="G40" s="579" t="s">
        <v>1967</v>
      </c>
      <c r="H40" s="482">
        <v>1</v>
      </c>
      <c r="I40" s="580">
        <v>41084</v>
      </c>
      <c r="J40" s="580">
        <v>41084</v>
      </c>
      <c r="K40" s="581">
        <v>37137.199999999997</v>
      </c>
      <c r="L40" s="581">
        <v>3174.12</v>
      </c>
      <c r="M40" s="582"/>
      <c r="N40" s="582"/>
      <c r="O40" s="582"/>
      <c r="P40" s="582">
        <f t="shared" si="0"/>
        <v>37137.199999999997</v>
      </c>
      <c r="Q40" s="582">
        <f t="shared" si="1"/>
        <v>3174.12</v>
      </c>
      <c r="R40" s="583">
        <f t="shared" si="2"/>
        <v>33800</v>
      </c>
      <c r="S40" s="668">
        <f t="shared" si="19"/>
        <v>22</v>
      </c>
      <c r="T40" s="584">
        <v>4</v>
      </c>
      <c r="U40" s="585">
        <f t="shared" si="20"/>
        <v>6084</v>
      </c>
      <c r="V40" s="586">
        <f t="shared" si="3"/>
        <v>91.68</v>
      </c>
      <c r="W40" s="477"/>
      <c r="X40" s="619">
        <f t="shared" si="22"/>
        <v>43450.52</v>
      </c>
      <c r="Y40" s="618"/>
      <c r="Z40" s="489">
        <v>39600</v>
      </c>
      <c r="AA40" s="361">
        <f t="shared" si="5"/>
        <v>33846.15</v>
      </c>
      <c r="AB40" s="597"/>
      <c r="AC40" s="485">
        <f t="shared" si="6"/>
        <v>0</v>
      </c>
      <c r="AD40" s="597"/>
      <c r="AE40" s="485">
        <f t="shared" si="7"/>
        <v>0</v>
      </c>
      <c r="AF40" s="508">
        <f t="shared" si="8"/>
        <v>0</v>
      </c>
      <c r="AG40" s="508">
        <f t="shared" si="9"/>
        <v>0</v>
      </c>
      <c r="AH40" s="508">
        <f t="shared" si="10"/>
        <v>39600</v>
      </c>
      <c r="AI40" s="508">
        <f t="shared" si="11"/>
        <v>0</v>
      </c>
      <c r="AJ40" s="508">
        <f t="shared" si="12"/>
        <v>5753.85</v>
      </c>
      <c r="AK40" s="508">
        <f t="shared" si="13"/>
        <v>33800</v>
      </c>
      <c r="AL40" s="116">
        <v>14</v>
      </c>
      <c r="AM40" s="486">
        <f t="shared" si="14"/>
        <v>5.44</v>
      </c>
      <c r="AN40" s="117">
        <f t="shared" si="18"/>
        <v>9</v>
      </c>
      <c r="AO40" s="487">
        <f t="shared" si="16"/>
        <v>62</v>
      </c>
      <c r="AP40" s="509">
        <f t="shared" si="21"/>
        <v>22</v>
      </c>
    </row>
    <row r="41" spans="1:42" ht="14.25" customHeight="1">
      <c r="A41" s="701">
        <v>35</v>
      </c>
      <c r="B41" s="477"/>
      <c r="C41" s="477" t="s">
        <v>1175</v>
      </c>
      <c r="D41" s="477" t="s">
        <v>1213</v>
      </c>
      <c r="E41" s="475" t="s">
        <v>1453</v>
      </c>
      <c r="F41" s="611" t="s">
        <v>2066</v>
      </c>
      <c r="G41" s="579" t="s">
        <v>1967</v>
      </c>
      <c r="H41" s="482">
        <v>1</v>
      </c>
      <c r="I41" s="580">
        <v>41084</v>
      </c>
      <c r="J41" s="580">
        <v>41084</v>
      </c>
      <c r="K41" s="581">
        <v>37137.199999999997</v>
      </c>
      <c r="L41" s="581">
        <v>3174.12</v>
      </c>
      <c r="M41" s="582"/>
      <c r="N41" s="582"/>
      <c r="O41" s="582"/>
      <c r="P41" s="582">
        <f t="shared" si="0"/>
        <v>37137.199999999997</v>
      </c>
      <c r="Q41" s="582">
        <f t="shared" si="1"/>
        <v>3174.12</v>
      </c>
      <c r="R41" s="583">
        <f t="shared" si="2"/>
        <v>33800</v>
      </c>
      <c r="S41" s="668">
        <f t="shared" si="19"/>
        <v>22</v>
      </c>
      <c r="T41" s="584">
        <v>4</v>
      </c>
      <c r="U41" s="585">
        <f t="shared" si="20"/>
        <v>6084</v>
      </c>
      <c r="V41" s="586">
        <f t="shared" si="3"/>
        <v>91.68</v>
      </c>
      <c r="W41" s="611"/>
      <c r="X41" s="619">
        <f t="shared" si="22"/>
        <v>43450.52</v>
      </c>
      <c r="Y41" s="618"/>
      <c r="Z41" s="489">
        <v>39600</v>
      </c>
      <c r="AA41" s="361">
        <f t="shared" si="5"/>
        <v>33846.15</v>
      </c>
      <c r="AB41" s="597"/>
      <c r="AC41" s="485">
        <f t="shared" si="6"/>
        <v>0</v>
      </c>
      <c r="AD41" s="597"/>
      <c r="AE41" s="485">
        <f t="shared" si="7"/>
        <v>0</v>
      </c>
      <c r="AF41" s="508">
        <f t="shared" si="8"/>
        <v>0</v>
      </c>
      <c r="AG41" s="508">
        <f t="shared" si="9"/>
        <v>0</v>
      </c>
      <c r="AH41" s="508">
        <f t="shared" si="10"/>
        <v>39600</v>
      </c>
      <c r="AI41" s="508">
        <f t="shared" si="11"/>
        <v>0</v>
      </c>
      <c r="AJ41" s="508">
        <f t="shared" si="12"/>
        <v>5753.85</v>
      </c>
      <c r="AK41" s="508">
        <f t="shared" si="13"/>
        <v>33800</v>
      </c>
      <c r="AL41" s="116">
        <v>14</v>
      </c>
      <c r="AM41" s="486">
        <f t="shared" si="14"/>
        <v>5.44</v>
      </c>
      <c r="AN41" s="117">
        <f t="shared" si="18"/>
        <v>9</v>
      </c>
      <c r="AO41" s="487">
        <f t="shared" si="16"/>
        <v>62</v>
      </c>
      <c r="AP41" s="509">
        <f t="shared" si="21"/>
        <v>22</v>
      </c>
    </row>
    <row r="42" spans="1:42" ht="14.25" customHeight="1">
      <c r="A42" s="701">
        <v>36</v>
      </c>
      <c r="B42" s="477"/>
      <c r="C42" s="477" t="s">
        <v>1993</v>
      </c>
      <c r="D42" s="477" t="s">
        <v>1984</v>
      </c>
      <c r="E42" s="475" t="s">
        <v>1453</v>
      </c>
      <c r="F42" s="611" t="s">
        <v>2066</v>
      </c>
      <c r="G42" s="579" t="s">
        <v>1967</v>
      </c>
      <c r="H42" s="482">
        <v>1</v>
      </c>
      <c r="I42" s="580">
        <v>41084</v>
      </c>
      <c r="J42" s="580">
        <v>41084</v>
      </c>
      <c r="K42" s="581">
        <v>42256.36</v>
      </c>
      <c r="L42" s="581">
        <v>3611.65</v>
      </c>
      <c r="M42" s="582"/>
      <c r="N42" s="582"/>
      <c r="O42" s="582"/>
      <c r="P42" s="582">
        <f t="shared" si="0"/>
        <v>42256.36</v>
      </c>
      <c r="Q42" s="582">
        <f t="shared" si="1"/>
        <v>3611.65</v>
      </c>
      <c r="R42" s="583">
        <f t="shared" si="2"/>
        <v>34200</v>
      </c>
      <c r="S42" s="668">
        <f t="shared" si="19"/>
        <v>23</v>
      </c>
      <c r="T42" s="584">
        <v>4</v>
      </c>
      <c r="U42" s="585">
        <f t="shared" si="20"/>
        <v>6498</v>
      </c>
      <c r="V42" s="586">
        <f t="shared" si="3"/>
        <v>79.92</v>
      </c>
      <c r="W42" s="611"/>
      <c r="X42" s="619">
        <f t="shared" si="22"/>
        <v>49439.94</v>
      </c>
      <c r="Y42" s="618"/>
      <c r="Z42" s="489">
        <v>40000</v>
      </c>
      <c r="AA42" s="361">
        <f t="shared" si="5"/>
        <v>34188.03</v>
      </c>
      <c r="AB42" s="597"/>
      <c r="AC42" s="485">
        <f t="shared" si="6"/>
        <v>0</v>
      </c>
      <c r="AD42" s="597"/>
      <c r="AE42" s="485">
        <f t="shared" si="7"/>
        <v>0</v>
      </c>
      <c r="AF42" s="508">
        <f t="shared" si="8"/>
        <v>0</v>
      </c>
      <c r="AG42" s="508">
        <f t="shared" si="9"/>
        <v>0</v>
      </c>
      <c r="AH42" s="508">
        <f t="shared" si="10"/>
        <v>40000</v>
      </c>
      <c r="AI42" s="508">
        <f t="shared" si="11"/>
        <v>0</v>
      </c>
      <c r="AJ42" s="508">
        <f t="shared" si="12"/>
        <v>5811.97</v>
      </c>
      <c r="AK42" s="508">
        <f t="shared" si="13"/>
        <v>34200</v>
      </c>
      <c r="AL42" s="116">
        <v>16</v>
      </c>
      <c r="AM42" s="486">
        <f t="shared" si="14"/>
        <v>5.44</v>
      </c>
      <c r="AN42" s="117">
        <f t="shared" si="18"/>
        <v>11</v>
      </c>
      <c r="AO42" s="487">
        <f t="shared" si="16"/>
        <v>67</v>
      </c>
      <c r="AP42" s="509">
        <f t="shared" si="21"/>
        <v>23</v>
      </c>
    </row>
    <row r="43" spans="1:42" ht="14.25" customHeight="1">
      <c r="A43" s="701">
        <v>37</v>
      </c>
      <c r="B43" s="477"/>
      <c r="C43" s="477" t="s">
        <v>1780</v>
      </c>
      <c r="D43" s="477" t="s">
        <v>1214</v>
      </c>
      <c r="E43" s="475" t="s">
        <v>1453</v>
      </c>
      <c r="F43" s="477"/>
      <c r="G43" s="482" t="s">
        <v>1943</v>
      </c>
      <c r="H43" s="482">
        <v>1</v>
      </c>
      <c r="I43" s="580">
        <v>41084</v>
      </c>
      <c r="J43" s="580">
        <v>41084</v>
      </c>
      <c r="K43" s="581">
        <v>186.21</v>
      </c>
      <c r="L43" s="581">
        <v>0</v>
      </c>
      <c r="M43" s="582"/>
      <c r="N43" s="582"/>
      <c r="O43" s="582"/>
      <c r="P43" s="582">
        <f t="shared" si="0"/>
        <v>186.21</v>
      </c>
      <c r="Q43" s="582">
        <f t="shared" si="1"/>
        <v>0</v>
      </c>
      <c r="R43" s="583">
        <f t="shared" si="2"/>
        <v>200</v>
      </c>
      <c r="S43" s="668">
        <f t="shared" si="19"/>
        <v>13</v>
      </c>
      <c r="T43" s="584"/>
      <c r="U43" s="585">
        <f t="shared" si="20"/>
        <v>26</v>
      </c>
      <c r="V43" s="586" t="str">
        <f t="shared" si="3"/>
        <v/>
      </c>
      <c r="W43" s="477"/>
      <c r="X43" s="619">
        <f t="shared" si="22"/>
        <v>217.87</v>
      </c>
      <c r="Y43" s="618"/>
      <c r="Z43" s="489">
        <v>200</v>
      </c>
      <c r="AA43" s="361">
        <f t="shared" si="5"/>
        <v>170.94</v>
      </c>
      <c r="AB43" s="597"/>
      <c r="AC43" s="485">
        <f t="shared" si="6"/>
        <v>0</v>
      </c>
      <c r="AD43" s="597"/>
      <c r="AE43" s="485">
        <f t="shared" si="7"/>
        <v>0</v>
      </c>
      <c r="AF43" s="508">
        <f t="shared" si="8"/>
        <v>0</v>
      </c>
      <c r="AG43" s="508">
        <f t="shared" si="9"/>
        <v>0</v>
      </c>
      <c r="AH43" s="508">
        <f t="shared" si="10"/>
        <v>200</v>
      </c>
      <c r="AI43" s="508">
        <f t="shared" si="11"/>
        <v>0</v>
      </c>
      <c r="AJ43" s="508">
        <f t="shared" si="12"/>
        <v>29.06</v>
      </c>
      <c r="AK43" s="508">
        <f t="shared" si="13"/>
        <v>200</v>
      </c>
      <c r="AL43" s="116">
        <v>8</v>
      </c>
      <c r="AM43" s="486">
        <f t="shared" si="14"/>
        <v>5.44</v>
      </c>
      <c r="AN43" s="117">
        <f t="shared" si="18"/>
        <v>3</v>
      </c>
      <c r="AO43" s="487">
        <f t="shared" si="16"/>
        <v>36</v>
      </c>
      <c r="AP43" s="509">
        <f t="shared" si="21"/>
        <v>13</v>
      </c>
    </row>
    <row r="44" spans="1:42" ht="14.25" customHeight="1">
      <c r="A44" s="701">
        <v>38</v>
      </c>
      <c r="B44" s="477"/>
      <c r="C44" s="477" t="s">
        <v>1176</v>
      </c>
      <c r="D44" s="477"/>
      <c r="E44" s="475" t="s">
        <v>1453</v>
      </c>
      <c r="F44" s="611" t="s">
        <v>2002</v>
      </c>
      <c r="G44" s="482" t="s">
        <v>1943</v>
      </c>
      <c r="H44" s="482">
        <v>1</v>
      </c>
      <c r="I44" s="580">
        <v>41088</v>
      </c>
      <c r="J44" s="580">
        <v>41088</v>
      </c>
      <c r="K44" s="581">
        <v>31350.43</v>
      </c>
      <c r="L44" s="581">
        <v>2679.52</v>
      </c>
      <c r="M44" s="582"/>
      <c r="N44" s="582"/>
      <c r="O44" s="582"/>
      <c r="P44" s="582">
        <f t="shared" si="0"/>
        <v>31350.43</v>
      </c>
      <c r="Q44" s="582">
        <f t="shared" si="1"/>
        <v>2679.52</v>
      </c>
      <c r="R44" s="583">
        <f t="shared" si="2"/>
        <v>400</v>
      </c>
      <c r="S44" s="584"/>
      <c r="T44" s="584"/>
      <c r="U44" s="585">
        <f>ROUND(R44*(1-T44/100),0)</f>
        <v>400</v>
      </c>
      <c r="V44" s="586">
        <f t="shared" si="3"/>
        <v>-85.07</v>
      </c>
      <c r="W44" s="611" t="s">
        <v>2074</v>
      </c>
      <c r="X44" s="619">
        <f t="shared" si="22"/>
        <v>36680</v>
      </c>
      <c r="Y44" s="618"/>
      <c r="Z44" s="617">
        <v>500</v>
      </c>
      <c r="AA44" s="361">
        <f t="shared" si="5"/>
        <v>427.35</v>
      </c>
      <c r="AB44" s="597"/>
      <c r="AC44" s="485">
        <f t="shared" si="6"/>
        <v>0</v>
      </c>
      <c r="AD44" s="597"/>
      <c r="AE44" s="485">
        <f t="shared" si="7"/>
        <v>0</v>
      </c>
      <c r="AF44" s="508">
        <f t="shared" si="8"/>
        <v>0</v>
      </c>
      <c r="AG44" s="508">
        <f t="shared" si="9"/>
        <v>0</v>
      </c>
      <c r="AH44" s="508">
        <f t="shared" si="10"/>
        <v>500</v>
      </c>
      <c r="AI44" s="508">
        <f t="shared" si="11"/>
        <v>0</v>
      </c>
      <c r="AJ44" s="508">
        <f t="shared" si="12"/>
        <v>72.650000000000006</v>
      </c>
      <c r="AK44" s="508">
        <f t="shared" si="13"/>
        <v>400</v>
      </c>
      <c r="AL44" s="116">
        <v>10</v>
      </c>
      <c r="AM44" s="486">
        <f t="shared" si="14"/>
        <v>5.43</v>
      </c>
      <c r="AN44" s="117">
        <f t="shared" si="18"/>
        <v>5</v>
      </c>
      <c r="AO44" s="487">
        <f t="shared" si="16"/>
        <v>48</v>
      </c>
      <c r="AP44" s="509"/>
    </row>
    <row r="45" spans="1:42" ht="14.25" customHeight="1">
      <c r="A45" s="701">
        <v>39</v>
      </c>
      <c r="B45" s="477"/>
      <c r="C45" s="477" t="s">
        <v>1177</v>
      </c>
      <c r="D45" s="477"/>
      <c r="E45" s="475" t="s">
        <v>1453</v>
      </c>
      <c r="F45" s="611" t="s">
        <v>2002</v>
      </c>
      <c r="G45" s="482" t="s">
        <v>1943</v>
      </c>
      <c r="H45" s="482">
        <v>1</v>
      </c>
      <c r="I45" s="580">
        <v>41088</v>
      </c>
      <c r="J45" s="580">
        <v>41088</v>
      </c>
      <c r="K45" s="581">
        <v>33914.53</v>
      </c>
      <c r="L45" s="581">
        <v>2898.68</v>
      </c>
      <c r="M45" s="582"/>
      <c r="N45" s="582"/>
      <c r="O45" s="582"/>
      <c r="P45" s="582">
        <f t="shared" si="0"/>
        <v>33914.53</v>
      </c>
      <c r="Q45" s="582">
        <f t="shared" si="1"/>
        <v>2898.68</v>
      </c>
      <c r="R45" s="583">
        <f t="shared" si="2"/>
        <v>30900</v>
      </c>
      <c r="S45" s="668">
        <f>AP45</f>
        <v>20</v>
      </c>
      <c r="T45" s="584">
        <v>5</v>
      </c>
      <c r="U45" s="585">
        <f>IF(S45="",R45,ROUND(R45*(S45-T45)/100,0))</f>
        <v>4635</v>
      </c>
      <c r="V45" s="586">
        <f t="shared" si="3"/>
        <v>59.9</v>
      </c>
      <c r="W45" s="477"/>
      <c r="X45" s="619">
        <f t="shared" si="22"/>
        <v>39680</v>
      </c>
      <c r="Y45" s="618"/>
      <c r="Z45" s="489">
        <v>36200</v>
      </c>
      <c r="AA45" s="361">
        <f t="shared" si="5"/>
        <v>30940.17</v>
      </c>
      <c r="AB45" s="597"/>
      <c r="AC45" s="485">
        <f t="shared" si="6"/>
        <v>0</v>
      </c>
      <c r="AD45" s="597"/>
      <c r="AE45" s="485">
        <f t="shared" si="7"/>
        <v>0</v>
      </c>
      <c r="AF45" s="508">
        <f t="shared" si="8"/>
        <v>0</v>
      </c>
      <c r="AG45" s="508">
        <f t="shared" si="9"/>
        <v>0</v>
      </c>
      <c r="AH45" s="508">
        <f t="shared" si="10"/>
        <v>36200</v>
      </c>
      <c r="AI45" s="508">
        <f t="shared" si="11"/>
        <v>0</v>
      </c>
      <c r="AJ45" s="508">
        <f t="shared" si="12"/>
        <v>5259.83</v>
      </c>
      <c r="AK45" s="508">
        <f t="shared" si="13"/>
        <v>30900</v>
      </c>
      <c r="AL45" s="116">
        <v>12</v>
      </c>
      <c r="AM45" s="486">
        <f t="shared" si="14"/>
        <v>5.43</v>
      </c>
      <c r="AN45" s="117">
        <f t="shared" si="18"/>
        <v>7</v>
      </c>
      <c r="AO45" s="487">
        <f t="shared" si="16"/>
        <v>56</v>
      </c>
      <c r="AP45" s="509">
        <f>AO45*AP$4</f>
        <v>20</v>
      </c>
    </row>
    <row r="46" spans="1:42" ht="14.25" customHeight="1">
      <c r="A46" s="701">
        <v>40</v>
      </c>
      <c r="B46" s="477"/>
      <c r="C46" s="477" t="s">
        <v>1657</v>
      </c>
      <c r="D46" s="477" t="s">
        <v>1215</v>
      </c>
      <c r="E46" s="475" t="s">
        <v>1453</v>
      </c>
      <c r="F46" s="611" t="s">
        <v>2002</v>
      </c>
      <c r="G46" s="482" t="s">
        <v>1946</v>
      </c>
      <c r="H46" s="482">
        <v>1</v>
      </c>
      <c r="I46" s="580">
        <v>41088</v>
      </c>
      <c r="J46" s="580">
        <v>41088</v>
      </c>
      <c r="K46" s="581">
        <v>43316.24</v>
      </c>
      <c r="L46" s="581">
        <v>3702.24</v>
      </c>
      <c r="M46" s="582"/>
      <c r="N46" s="582"/>
      <c r="O46" s="582"/>
      <c r="P46" s="582">
        <f t="shared" si="0"/>
        <v>43316.24</v>
      </c>
      <c r="Q46" s="582">
        <f t="shared" si="1"/>
        <v>3702.24</v>
      </c>
      <c r="R46" s="583">
        <f t="shared" si="2"/>
        <v>0</v>
      </c>
      <c r="S46" s="584"/>
      <c r="T46" s="584"/>
      <c r="U46" s="585">
        <f>ROUND(R46*(1-T46/100),0)</f>
        <v>0</v>
      </c>
      <c r="V46" s="586">
        <f t="shared" si="3"/>
        <v>-100</v>
      </c>
      <c r="W46" s="611" t="s">
        <v>2074</v>
      </c>
      <c r="X46" s="619">
        <f t="shared" si="22"/>
        <v>50680</v>
      </c>
      <c r="Y46" s="618"/>
      <c r="Z46" s="617">
        <v>0</v>
      </c>
      <c r="AA46" s="361">
        <f t="shared" si="5"/>
        <v>0</v>
      </c>
      <c r="AB46" s="597"/>
      <c r="AC46" s="485">
        <f t="shared" si="6"/>
        <v>0</v>
      </c>
      <c r="AD46" s="597"/>
      <c r="AE46" s="485">
        <f t="shared" si="7"/>
        <v>0</v>
      </c>
      <c r="AF46" s="508">
        <f t="shared" si="8"/>
        <v>0</v>
      </c>
      <c r="AG46" s="508">
        <f t="shared" si="9"/>
        <v>0</v>
      </c>
      <c r="AH46" s="508">
        <f t="shared" si="10"/>
        <v>0</v>
      </c>
      <c r="AI46" s="508">
        <f t="shared" si="11"/>
        <v>0</v>
      </c>
      <c r="AJ46" s="508">
        <f t="shared" si="12"/>
        <v>0</v>
      </c>
      <c r="AK46" s="508">
        <f t="shared" si="13"/>
        <v>0</v>
      </c>
      <c r="AM46" s="486">
        <f t="shared" si="14"/>
        <v>5.43</v>
      </c>
      <c r="AN46" s="117">
        <f t="shared" si="18"/>
        <v>-5</v>
      </c>
      <c r="AO46" s="487">
        <f t="shared" si="16"/>
        <v>-1163</v>
      </c>
      <c r="AP46" s="509"/>
    </row>
    <row r="47" spans="1:42" ht="14.25" customHeight="1">
      <c r="A47" s="701">
        <v>41</v>
      </c>
      <c r="B47" s="477"/>
      <c r="C47" s="477" t="s">
        <v>1178</v>
      </c>
      <c r="D47" s="477" t="s">
        <v>1216</v>
      </c>
      <c r="E47" s="475" t="s">
        <v>1453</v>
      </c>
      <c r="F47" s="611" t="s">
        <v>2030</v>
      </c>
      <c r="G47" s="482" t="s">
        <v>1943</v>
      </c>
      <c r="H47" s="482">
        <v>1</v>
      </c>
      <c r="I47" s="580">
        <v>41088</v>
      </c>
      <c r="J47" s="580">
        <v>41088</v>
      </c>
      <c r="K47" s="625">
        <v>116340.58</v>
      </c>
      <c r="L47" s="581">
        <v>9943.64</v>
      </c>
      <c r="M47" s="582"/>
      <c r="N47" s="582"/>
      <c r="O47" s="582"/>
      <c r="P47" s="582">
        <f t="shared" si="0"/>
        <v>116340.58</v>
      </c>
      <c r="Q47" s="582">
        <f t="shared" si="1"/>
        <v>9943.64</v>
      </c>
      <c r="R47" s="583">
        <f t="shared" si="2"/>
        <v>116200</v>
      </c>
      <c r="S47" s="668">
        <f>AP47</f>
        <v>20</v>
      </c>
      <c r="T47" s="584">
        <v>5</v>
      </c>
      <c r="U47" s="585">
        <f>IF(S47="",R47,ROUND(R47*(S47-T47)/100,0))</f>
        <v>17430</v>
      </c>
      <c r="V47" s="586">
        <f t="shared" si="3"/>
        <v>75.290000000000006</v>
      </c>
      <c r="W47" s="477"/>
      <c r="X47" s="619">
        <f t="shared" si="22"/>
        <v>136118.48000000001</v>
      </c>
      <c r="Y47" s="618"/>
      <c r="Z47" s="489">
        <v>136000</v>
      </c>
      <c r="AA47" s="361">
        <f t="shared" si="5"/>
        <v>116239.32</v>
      </c>
      <c r="AB47" s="597"/>
      <c r="AC47" s="485">
        <f t="shared" si="6"/>
        <v>0</v>
      </c>
      <c r="AD47" s="597"/>
      <c r="AE47" s="485">
        <f t="shared" si="7"/>
        <v>0</v>
      </c>
      <c r="AF47" s="508">
        <f t="shared" si="8"/>
        <v>0</v>
      </c>
      <c r="AG47" s="508">
        <f t="shared" si="9"/>
        <v>0</v>
      </c>
      <c r="AH47" s="508">
        <f t="shared" si="10"/>
        <v>136000</v>
      </c>
      <c r="AI47" s="508">
        <f t="shared" si="11"/>
        <v>0</v>
      </c>
      <c r="AJ47" s="508">
        <f t="shared" si="12"/>
        <v>19760.68</v>
      </c>
      <c r="AK47" s="508">
        <f t="shared" si="13"/>
        <v>116200</v>
      </c>
      <c r="AL47" s="116">
        <v>12</v>
      </c>
      <c r="AM47" s="486">
        <f t="shared" si="14"/>
        <v>5.43</v>
      </c>
      <c r="AN47" s="117">
        <f t="shared" si="18"/>
        <v>7</v>
      </c>
      <c r="AO47" s="487">
        <f t="shared" si="16"/>
        <v>56</v>
      </c>
      <c r="AP47" s="509">
        <f>AO47*AP$4</f>
        <v>20</v>
      </c>
    </row>
    <row r="48" spans="1:42" ht="14.25" customHeight="1">
      <c r="A48" s="701">
        <v>42</v>
      </c>
      <c r="B48" s="477"/>
      <c r="C48" s="477" t="s">
        <v>1179</v>
      </c>
      <c r="D48" s="477"/>
      <c r="E48" s="475" t="s">
        <v>1453</v>
      </c>
      <c r="F48" s="611" t="s">
        <v>2002</v>
      </c>
      <c r="G48" s="482" t="s">
        <v>1943</v>
      </c>
      <c r="H48" s="482">
        <v>1</v>
      </c>
      <c r="I48" s="580">
        <v>41088</v>
      </c>
      <c r="J48" s="580">
        <v>41088</v>
      </c>
      <c r="K48" s="581">
        <v>42106.84</v>
      </c>
      <c r="L48" s="581">
        <v>3598.88</v>
      </c>
      <c r="M48" s="582"/>
      <c r="N48" s="582"/>
      <c r="O48" s="582"/>
      <c r="P48" s="582">
        <f t="shared" si="0"/>
        <v>42106.84</v>
      </c>
      <c r="Q48" s="582">
        <f t="shared" si="1"/>
        <v>3598.88</v>
      </c>
      <c r="R48" s="583">
        <f t="shared" si="2"/>
        <v>38400</v>
      </c>
      <c r="S48" s="668">
        <f>AP48</f>
        <v>17</v>
      </c>
      <c r="T48" s="584">
        <v>3</v>
      </c>
      <c r="U48" s="585">
        <f>IF(S48="",R48,ROUND(R48*(S48-T48)/100,0))</f>
        <v>5376</v>
      </c>
      <c r="V48" s="586">
        <f t="shared" si="3"/>
        <v>49.38</v>
      </c>
      <c r="W48" s="477"/>
      <c r="X48" s="619">
        <f t="shared" si="22"/>
        <v>49265</v>
      </c>
      <c r="Y48" s="618"/>
      <c r="Z48" s="489">
        <v>44900</v>
      </c>
      <c r="AA48" s="361">
        <f t="shared" si="5"/>
        <v>38376.07</v>
      </c>
      <c r="AB48" s="597"/>
      <c r="AC48" s="485">
        <f t="shared" si="6"/>
        <v>0</v>
      </c>
      <c r="AD48" s="597"/>
      <c r="AE48" s="485">
        <f t="shared" si="7"/>
        <v>0</v>
      </c>
      <c r="AF48" s="508">
        <f t="shared" si="8"/>
        <v>0</v>
      </c>
      <c r="AG48" s="508">
        <f t="shared" si="9"/>
        <v>0</v>
      </c>
      <c r="AH48" s="508">
        <f t="shared" si="10"/>
        <v>44900</v>
      </c>
      <c r="AI48" s="508">
        <f t="shared" si="11"/>
        <v>0</v>
      </c>
      <c r="AJ48" s="508">
        <f t="shared" si="12"/>
        <v>6523.93</v>
      </c>
      <c r="AK48" s="508">
        <f t="shared" si="13"/>
        <v>38400</v>
      </c>
      <c r="AL48" s="116">
        <v>10</v>
      </c>
      <c r="AM48" s="486">
        <f t="shared" si="14"/>
        <v>5.43</v>
      </c>
      <c r="AN48" s="117">
        <f t="shared" si="18"/>
        <v>5</v>
      </c>
      <c r="AO48" s="487">
        <f t="shared" si="16"/>
        <v>48</v>
      </c>
      <c r="AP48" s="509">
        <f>AO48*AP$4</f>
        <v>17</v>
      </c>
    </row>
    <row r="49" spans="1:44" ht="14.25" customHeight="1">
      <c r="A49" s="701">
        <v>43</v>
      </c>
      <c r="B49" s="477"/>
      <c r="C49" s="477" t="s">
        <v>1588</v>
      </c>
      <c r="D49" s="477"/>
      <c r="E49" s="475" t="s">
        <v>1453</v>
      </c>
      <c r="F49" s="611" t="s">
        <v>2002</v>
      </c>
      <c r="G49" s="482" t="s">
        <v>1943</v>
      </c>
      <c r="H49" s="482">
        <v>1</v>
      </c>
      <c r="I49" s="580">
        <v>41088</v>
      </c>
      <c r="J49" s="580">
        <v>41088</v>
      </c>
      <c r="K49" s="581">
        <v>34414.53</v>
      </c>
      <c r="L49" s="581">
        <v>2941.41</v>
      </c>
      <c r="M49" s="582"/>
      <c r="N49" s="582"/>
      <c r="O49" s="582"/>
      <c r="P49" s="582">
        <f t="shared" si="0"/>
        <v>34414.53</v>
      </c>
      <c r="Q49" s="582">
        <f t="shared" si="1"/>
        <v>2941.41</v>
      </c>
      <c r="R49" s="583">
        <f t="shared" si="2"/>
        <v>100</v>
      </c>
      <c r="S49" s="584"/>
      <c r="T49" s="584">
        <v>4</v>
      </c>
      <c r="U49" s="585">
        <f>ROUND(R49*(1-T49/100),0)</f>
        <v>96</v>
      </c>
      <c r="V49" s="586">
        <f t="shared" si="3"/>
        <v>-96.74</v>
      </c>
      <c r="W49" s="611" t="s">
        <v>2078</v>
      </c>
      <c r="X49" s="619">
        <f t="shared" si="22"/>
        <v>40265</v>
      </c>
      <c r="Y49" s="618"/>
      <c r="Z49" s="617">
        <v>100</v>
      </c>
      <c r="AA49" s="361">
        <f t="shared" si="5"/>
        <v>85.47</v>
      </c>
      <c r="AB49" s="597"/>
      <c r="AC49" s="485">
        <f t="shared" si="6"/>
        <v>0</v>
      </c>
      <c r="AD49" s="597"/>
      <c r="AE49" s="485">
        <f t="shared" si="7"/>
        <v>0</v>
      </c>
      <c r="AF49" s="508">
        <f t="shared" si="8"/>
        <v>0</v>
      </c>
      <c r="AG49" s="508">
        <f t="shared" si="9"/>
        <v>0</v>
      </c>
      <c r="AH49" s="508">
        <f t="shared" si="10"/>
        <v>100</v>
      </c>
      <c r="AI49" s="508">
        <f t="shared" si="11"/>
        <v>0</v>
      </c>
      <c r="AJ49" s="508">
        <f t="shared" si="12"/>
        <v>14.53</v>
      </c>
      <c r="AK49" s="508">
        <f t="shared" si="13"/>
        <v>100</v>
      </c>
      <c r="AL49" s="116">
        <v>12</v>
      </c>
      <c r="AM49" s="486">
        <f t="shared" si="14"/>
        <v>5.43</v>
      </c>
      <c r="AN49" s="117">
        <f t="shared" si="18"/>
        <v>7</v>
      </c>
      <c r="AO49" s="487">
        <f t="shared" si="16"/>
        <v>56</v>
      </c>
      <c r="AP49" s="509"/>
    </row>
    <row r="50" spans="1:44" ht="14.25" customHeight="1">
      <c r="A50" s="701">
        <v>44</v>
      </c>
      <c r="B50" s="477"/>
      <c r="C50" s="477" t="s">
        <v>1180</v>
      </c>
      <c r="D50" s="477"/>
      <c r="E50" s="475" t="s">
        <v>1453</v>
      </c>
      <c r="F50" s="611" t="s">
        <v>2002</v>
      </c>
      <c r="G50" s="482" t="s">
        <v>1943</v>
      </c>
      <c r="H50" s="482">
        <v>1</v>
      </c>
      <c r="I50" s="580">
        <v>41088</v>
      </c>
      <c r="J50" s="580">
        <v>41088</v>
      </c>
      <c r="K50" s="581">
        <v>34414.53</v>
      </c>
      <c r="L50" s="581">
        <v>2941.41</v>
      </c>
      <c r="M50" s="582"/>
      <c r="N50" s="582"/>
      <c r="O50" s="582"/>
      <c r="P50" s="582">
        <f t="shared" si="0"/>
        <v>34414.53</v>
      </c>
      <c r="Q50" s="582">
        <f t="shared" si="1"/>
        <v>2941.41</v>
      </c>
      <c r="R50" s="583">
        <f t="shared" si="2"/>
        <v>31400</v>
      </c>
      <c r="S50" s="668">
        <f t="shared" ref="S50:S56" si="23">AP50</f>
        <v>17</v>
      </c>
      <c r="T50" s="584">
        <v>5</v>
      </c>
      <c r="U50" s="585">
        <f t="shared" ref="U50:U56" si="24">IF(S50="",R50,ROUND(R50*(S50-T50)/100,0))</f>
        <v>3768</v>
      </c>
      <c r="V50" s="586">
        <f t="shared" si="3"/>
        <v>28.1</v>
      </c>
      <c r="W50" s="477"/>
      <c r="X50" s="619">
        <f t="shared" si="22"/>
        <v>40265</v>
      </c>
      <c r="Y50" s="618"/>
      <c r="Z50" s="489">
        <v>36700</v>
      </c>
      <c r="AA50" s="361">
        <f t="shared" si="5"/>
        <v>31367.52</v>
      </c>
      <c r="AB50" s="597"/>
      <c r="AC50" s="485">
        <f t="shared" si="6"/>
        <v>0</v>
      </c>
      <c r="AD50" s="597"/>
      <c r="AE50" s="485">
        <f t="shared" si="7"/>
        <v>0</v>
      </c>
      <c r="AF50" s="508">
        <f t="shared" si="8"/>
        <v>0</v>
      </c>
      <c r="AG50" s="508">
        <f t="shared" si="9"/>
        <v>0</v>
      </c>
      <c r="AH50" s="508">
        <f t="shared" si="10"/>
        <v>36700</v>
      </c>
      <c r="AI50" s="508">
        <f t="shared" si="11"/>
        <v>0</v>
      </c>
      <c r="AJ50" s="508">
        <f t="shared" si="12"/>
        <v>5332.48</v>
      </c>
      <c r="AK50" s="508">
        <f t="shared" si="13"/>
        <v>31400</v>
      </c>
      <c r="AL50" s="116">
        <v>10</v>
      </c>
      <c r="AM50" s="486">
        <f t="shared" si="14"/>
        <v>5.43</v>
      </c>
      <c r="AN50" s="117">
        <f t="shared" si="18"/>
        <v>5</v>
      </c>
      <c r="AO50" s="487">
        <f t="shared" si="16"/>
        <v>48</v>
      </c>
      <c r="AP50" s="509">
        <f>AO50*AP$4</f>
        <v>17</v>
      </c>
    </row>
    <row r="51" spans="1:44" ht="14.25" customHeight="1">
      <c r="A51" s="701">
        <v>45</v>
      </c>
      <c r="B51" s="477"/>
      <c r="C51" s="477" t="s">
        <v>1181</v>
      </c>
      <c r="D51" s="477" t="s">
        <v>1217</v>
      </c>
      <c r="E51" s="475" t="s">
        <v>1453</v>
      </c>
      <c r="F51" s="611" t="s">
        <v>2002</v>
      </c>
      <c r="G51" s="482" t="s">
        <v>1943</v>
      </c>
      <c r="H51" s="482">
        <v>1</v>
      </c>
      <c r="I51" s="580">
        <v>41088</v>
      </c>
      <c r="J51" s="580">
        <v>41088</v>
      </c>
      <c r="K51" s="581">
        <v>266410.25</v>
      </c>
      <c r="L51" s="581">
        <v>22770.11</v>
      </c>
      <c r="M51" s="704" t="s">
        <v>2346</v>
      </c>
      <c r="N51" s="582"/>
      <c r="O51" s="582"/>
      <c r="P51" s="582">
        <f t="shared" si="0"/>
        <v>266410.25</v>
      </c>
      <c r="Q51" s="582">
        <f t="shared" si="1"/>
        <v>22770.11</v>
      </c>
      <c r="R51" s="583">
        <f t="shared" si="2"/>
        <v>209400</v>
      </c>
      <c r="S51" s="668">
        <f t="shared" si="23"/>
        <v>15</v>
      </c>
      <c r="T51" s="584">
        <v>4</v>
      </c>
      <c r="U51" s="585">
        <f t="shared" si="24"/>
        <v>23034</v>
      </c>
      <c r="V51" s="586">
        <f t="shared" si="3"/>
        <v>1.1599999999999999</v>
      </c>
      <c r="W51" s="477"/>
      <c r="X51" s="619">
        <f t="shared" si="22"/>
        <v>311699.99</v>
      </c>
      <c r="Y51" s="618"/>
      <c r="Z51" s="624">
        <v>245000</v>
      </c>
      <c r="AA51" s="361">
        <f t="shared" si="5"/>
        <v>209401.71</v>
      </c>
      <c r="AB51" s="597"/>
      <c r="AC51" s="485">
        <f t="shared" si="6"/>
        <v>0</v>
      </c>
      <c r="AD51" s="597"/>
      <c r="AE51" s="485">
        <f t="shared" si="7"/>
        <v>0</v>
      </c>
      <c r="AF51" s="508">
        <f t="shared" si="8"/>
        <v>0</v>
      </c>
      <c r="AG51" s="508">
        <f t="shared" si="9"/>
        <v>0</v>
      </c>
      <c r="AH51" s="508">
        <f t="shared" si="10"/>
        <v>245000</v>
      </c>
      <c r="AI51" s="508">
        <f t="shared" si="11"/>
        <v>0</v>
      </c>
      <c r="AJ51" s="508">
        <f t="shared" si="12"/>
        <v>35598.29</v>
      </c>
      <c r="AK51" s="508">
        <f t="shared" si="13"/>
        <v>209400</v>
      </c>
      <c r="AL51" s="116">
        <v>12</v>
      </c>
      <c r="AM51" s="486">
        <f t="shared" si="14"/>
        <v>5.43</v>
      </c>
      <c r="AN51" s="117">
        <f t="shared" si="18"/>
        <v>7</v>
      </c>
      <c r="AO51" s="487">
        <f t="shared" si="16"/>
        <v>56</v>
      </c>
      <c r="AP51" s="509">
        <v>15</v>
      </c>
    </row>
    <row r="52" spans="1:44" ht="14.25" customHeight="1">
      <c r="A52" s="701">
        <v>46</v>
      </c>
      <c r="B52" s="477"/>
      <c r="C52" s="477" t="s">
        <v>1464</v>
      </c>
      <c r="D52" s="477" t="s">
        <v>1218</v>
      </c>
      <c r="E52" s="475" t="s">
        <v>1453</v>
      </c>
      <c r="F52" s="611" t="s">
        <v>2002</v>
      </c>
      <c r="G52" s="482" t="s">
        <v>1943</v>
      </c>
      <c r="H52" s="482">
        <v>1</v>
      </c>
      <c r="I52" s="580">
        <v>41088</v>
      </c>
      <c r="J52" s="580">
        <v>41088</v>
      </c>
      <c r="K52" s="581">
        <v>24512.82</v>
      </c>
      <c r="L52" s="581">
        <v>2095.11</v>
      </c>
      <c r="M52" s="582"/>
      <c r="N52" s="582"/>
      <c r="O52" s="582"/>
      <c r="P52" s="582">
        <f t="shared" si="0"/>
        <v>24512.82</v>
      </c>
      <c r="Q52" s="582">
        <f t="shared" si="1"/>
        <v>2095.11</v>
      </c>
      <c r="R52" s="583">
        <f t="shared" si="2"/>
        <v>22300</v>
      </c>
      <c r="S52" s="668">
        <f t="shared" si="23"/>
        <v>22</v>
      </c>
      <c r="T52" s="584">
        <v>5</v>
      </c>
      <c r="U52" s="585">
        <f t="shared" si="24"/>
        <v>3791</v>
      </c>
      <c r="V52" s="586">
        <f t="shared" si="3"/>
        <v>80.95</v>
      </c>
      <c r="W52" s="477"/>
      <c r="X52" s="619">
        <f t="shared" si="22"/>
        <v>28680</v>
      </c>
      <c r="Y52" s="618"/>
      <c r="Z52" s="489">
        <v>26100</v>
      </c>
      <c r="AA52" s="361">
        <f t="shared" si="5"/>
        <v>22307.69</v>
      </c>
      <c r="AB52" s="597"/>
      <c r="AC52" s="485">
        <f t="shared" si="6"/>
        <v>0</v>
      </c>
      <c r="AD52" s="597"/>
      <c r="AE52" s="485">
        <f t="shared" si="7"/>
        <v>0</v>
      </c>
      <c r="AF52" s="508">
        <f t="shared" si="8"/>
        <v>0</v>
      </c>
      <c r="AG52" s="508">
        <f t="shared" si="9"/>
        <v>0</v>
      </c>
      <c r="AH52" s="508">
        <f t="shared" si="10"/>
        <v>26100</v>
      </c>
      <c r="AI52" s="508">
        <f t="shared" si="11"/>
        <v>0</v>
      </c>
      <c r="AJ52" s="508">
        <f t="shared" si="12"/>
        <v>3792.31</v>
      </c>
      <c r="AK52" s="508">
        <f t="shared" si="13"/>
        <v>22300</v>
      </c>
      <c r="AL52" s="116">
        <v>14</v>
      </c>
      <c r="AM52" s="486">
        <f t="shared" si="14"/>
        <v>5.43</v>
      </c>
      <c r="AN52" s="117">
        <f t="shared" si="18"/>
        <v>9</v>
      </c>
      <c r="AO52" s="487">
        <f t="shared" si="16"/>
        <v>62</v>
      </c>
      <c r="AP52" s="509">
        <f>AO52*AP$4</f>
        <v>22</v>
      </c>
    </row>
    <row r="53" spans="1:44" ht="14.25" customHeight="1">
      <c r="A53" s="701">
        <v>47</v>
      </c>
      <c r="B53" s="477"/>
      <c r="C53" s="477" t="s">
        <v>1182</v>
      </c>
      <c r="D53" s="477"/>
      <c r="E53" s="475" t="s">
        <v>1453</v>
      </c>
      <c r="F53" s="611" t="s">
        <v>2002</v>
      </c>
      <c r="G53" s="482" t="s">
        <v>1943</v>
      </c>
      <c r="H53" s="482">
        <v>1</v>
      </c>
      <c r="I53" s="580">
        <v>41088</v>
      </c>
      <c r="J53" s="580">
        <v>41088</v>
      </c>
      <c r="K53" s="581">
        <v>24512.82</v>
      </c>
      <c r="L53" s="581">
        <v>2095.11</v>
      </c>
      <c r="M53" s="582"/>
      <c r="N53" s="582"/>
      <c r="O53" s="582"/>
      <c r="P53" s="582">
        <f t="shared" si="0"/>
        <v>24512.82</v>
      </c>
      <c r="Q53" s="582">
        <f t="shared" si="1"/>
        <v>2095.11</v>
      </c>
      <c r="R53" s="583">
        <f t="shared" si="2"/>
        <v>22300</v>
      </c>
      <c r="S53" s="668">
        <f t="shared" si="23"/>
        <v>22</v>
      </c>
      <c r="T53" s="584">
        <v>5</v>
      </c>
      <c r="U53" s="585">
        <f t="shared" si="24"/>
        <v>3791</v>
      </c>
      <c r="V53" s="586">
        <f t="shared" si="3"/>
        <v>80.95</v>
      </c>
      <c r="W53" s="477"/>
      <c r="X53" s="619">
        <f t="shared" si="22"/>
        <v>28680</v>
      </c>
      <c r="Y53" s="618"/>
      <c r="Z53" s="489">
        <v>26100</v>
      </c>
      <c r="AA53" s="361">
        <f t="shared" si="5"/>
        <v>22307.69</v>
      </c>
      <c r="AB53" s="597"/>
      <c r="AC53" s="485">
        <f t="shared" si="6"/>
        <v>0</v>
      </c>
      <c r="AD53" s="597"/>
      <c r="AE53" s="485">
        <f t="shared" si="7"/>
        <v>0</v>
      </c>
      <c r="AF53" s="508">
        <f t="shared" si="8"/>
        <v>0</v>
      </c>
      <c r="AG53" s="508">
        <f t="shared" si="9"/>
        <v>0</v>
      </c>
      <c r="AH53" s="508">
        <f t="shared" si="10"/>
        <v>26100</v>
      </c>
      <c r="AI53" s="508">
        <f t="shared" si="11"/>
        <v>0</v>
      </c>
      <c r="AJ53" s="508">
        <f t="shared" si="12"/>
        <v>3792.31</v>
      </c>
      <c r="AK53" s="508">
        <f t="shared" si="13"/>
        <v>22300</v>
      </c>
      <c r="AL53" s="116">
        <v>14</v>
      </c>
      <c r="AM53" s="486">
        <f t="shared" si="14"/>
        <v>5.43</v>
      </c>
      <c r="AN53" s="117">
        <f t="shared" si="18"/>
        <v>9</v>
      </c>
      <c r="AO53" s="487">
        <f t="shared" si="16"/>
        <v>62</v>
      </c>
      <c r="AP53" s="509">
        <f>AO53*AP$4</f>
        <v>22</v>
      </c>
    </row>
    <row r="54" spans="1:44" ht="14.25" customHeight="1">
      <c r="A54" s="701">
        <v>48</v>
      </c>
      <c r="B54" s="477"/>
      <c r="C54" s="477" t="s">
        <v>2347</v>
      </c>
      <c r="D54" s="477" t="s">
        <v>1210</v>
      </c>
      <c r="E54" s="475" t="s">
        <v>1453</v>
      </c>
      <c r="F54" s="611" t="s">
        <v>2002</v>
      </c>
      <c r="G54" s="482" t="s">
        <v>1943</v>
      </c>
      <c r="H54" s="482">
        <v>1</v>
      </c>
      <c r="I54" s="580">
        <v>41079</v>
      </c>
      <c r="J54" s="580">
        <v>41079</v>
      </c>
      <c r="K54" s="616">
        <v>373485.8</v>
      </c>
      <c r="L54" s="616">
        <v>299301.32</v>
      </c>
      <c r="M54" s="704" t="s">
        <v>2346</v>
      </c>
      <c r="N54" s="582"/>
      <c r="O54" s="582"/>
      <c r="P54" s="582">
        <f t="shared" si="0"/>
        <v>373485.8</v>
      </c>
      <c r="Q54" s="582">
        <f t="shared" si="1"/>
        <v>299301.32</v>
      </c>
      <c r="R54" s="583">
        <f t="shared" si="2"/>
        <v>265000</v>
      </c>
      <c r="S54" s="668">
        <f t="shared" si="23"/>
        <v>12</v>
      </c>
      <c r="T54" s="584">
        <v>5</v>
      </c>
      <c r="U54" s="585">
        <f t="shared" si="24"/>
        <v>18550</v>
      </c>
      <c r="V54" s="586">
        <f t="shared" si="3"/>
        <v>-93.8</v>
      </c>
      <c r="W54" s="477"/>
      <c r="X54" s="619">
        <f t="shared" si="22"/>
        <v>436978.39</v>
      </c>
      <c r="Y54" s="618"/>
      <c r="Z54" s="624">
        <v>310000</v>
      </c>
      <c r="AA54" s="361">
        <f t="shared" si="5"/>
        <v>264957.26</v>
      </c>
      <c r="AB54" s="597"/>
      <c r="AC54" s="485">
        <f t="shared" si="6"/>
        <v>0</v>
      </c>
      <c r="AD54" s="597"/>
      <c r="AE54" s="485">
        <f t="shared" si="7"/>
        <v>0</v>
      </c>
      <c r="AF54" s="508">
        <f t="shared" si="8"/>
        <v>0</v>
      </c>
      <c r="AG54" s="508">
        <f t="shared" si="9"/>
        <v>0</v>
      </c>
      <c r="AH54" s="508">
        <f t="shared" si="10"/>
        <v>310000</v>
      </c>
      <c r="AI54" s="508">
        <f t="shared" si="11"/>
        <v>0</v>
      </c>
      <c r="AJ54" s="508">
        <f t="shared" si="12"/>
        <v>45042.74</v>
      </c>
      <c r="AK54" s="508">
        <f t="shared" si="13"/>
        <v>265000</v>
      </c>
      <c r="AL54" s="116">
        <v>14</v>
      </c>
      <c r="AM54" s="486">
        <f t="shared" si="14"/>
        <v>5.45</v>
      </c>
      <c r="AN54" s="117">
        <f t="shared" si="18"/>
        <v>9</v>
      </c>
      <c r="AO54" s="487">
        <f t="shared" si="16"/>
        <v>62</v>
      </c>
      <c r="AP54" s="509">
        <v>12</v>
      </c>
    </row>
    <row r="55" spans="1:44" ht="14.25" customHeight="1">
      <c r="A55" s="701">
        <v>49</v>
      </c>
      <c r="B55" s="477"/>
      <c r="C55" s="477" t="s">
        <v>1465</v>
      </c>
      <c r="D55" s="477"/>
      <c r="E55" s="475" t="s">
        <v>1453</v>
      </c>
      <c r="F55" s="611" t="s">
        <v>2002</v>
      </c>
      <c r="G55" s="482" t="s">
        <v>1943</v>
      </c>
      <c r="H55" s="482">
        <v>1</v>
      </c>
      <c r="I55" s="580">
        <v>41088</v>
      </c>
      <c r="J55" s="580">
        <v>41088</v>
      </c>
      <c r="K55" s="581">
        <v>32205.13</v>
      </c>
      <c r="L55" s="581">
        <v>2752.58</v>
      </c>
      <c r="M55" s="582"/>
      <c r="N55" s="582"/>
      <c r="O55" s="582"/>
      <c r="P55" s="582">
        <f t="shared" si="0"/>
        <v>32205.13</v>
      </c>
      <c r="Q55" s="582">
        <f t="shared" si="1"/>
        <v>2752.58</v>
      </c>
      <c r="R55" s="583">
        <f t="shared" si="2"/>
        <v>31500</v>
      </c>
      <c r="S55" s="668">
        <f t="shared" si="23"/>
        <v>20</v>
      </c>
      <c r="T55" s="584">
        <v>5</v>
      </c>
      <c r="U55" s="585">
        <f t="shared" si="24"/>
        <v>4725</v>
      </c>
      <c r="V55" s="586">
        <f t="shared" si="3"/>
        <v>71.66</v>
      </c>
      <c r="W55" s="477"/>
      <c r="X55" s="619">
        <f t="shared" si="22"/>
        <v>37680</v>
      </c>
      <c r="Y55" s="618"/>
      <c r="Z55" s="489">
        <v>36900</v>
      </c>
      <c r="AA55" s="361">
        <f t="shared" si="5"/>
        <v>31538.46</v>
      </c>
      <c r="AB55" s="597"/>
      <c r="AC55" s="485">
        <f t="shared" si="6"/>
        <v>0</v>
      </c>
      <c r="AD55" s="597"/>
      <c r="AE55" s="485">
        <f t="shared" si="7"/>
        <v>0</v>
      </c>
      <c r="AF55" s="508">
        <f t="shared" si="8"/>
        <v>0</v>
      </c>
      <c r="AG55" s="508">
        <f t="shared" si="9"/>
        <v>0</v>
      </c>
      <c r="AH55" s="508">
        <f t="shared" si="10"/>
        <v>36900</v>
      </c>
      <c r="AI55" s="508">
        <f t="shared" si="11"/>
        <v>0</v>
      </c>
      <c r="AJ55" s="508">
        <f t="shared" si="12"/>
        <v>5361.54</v>
      </c>
      <c r="AK55" s="508">
        <f t="shared" si="13"/>
        <v>31500</v>
      </c>
      <c r="AL55" s="116">
        <v>12</v>
      </c>
      <c r="AM55" s="486">
        <f t="shared" si="14"/>
        <v>5.43</v>
      </c>
      <c r="AN55" s="117">
        <f t="shared" si="18"/>
        <v>7</v>
      </c>
      <c r="AO55" s="487">
        <f t="shared" si="16"/>
        <v>56</v>
      </c>
      <c r="AP55" s="509">
        <f>AO55*AP$4</f>
        <v>20</v>
      </c>
    </row>
    <row r="56" spans="1:44" ht="14.25" customHeight="1">
      <c r="A56" s="701">
        <v>50</v>
      </c>
      <c r="B56" s="477"/>
      <c r="C56" s="477" t="s">
        <v>1556</v>
      </c>
      <c r="D56" s="477"/>
      <c r="E56" s="475" t="s">
        <v>1453</v>
      </c>
      <c r="F56" s="611" t="s">
        <v>2002</v>
      </c>
      <c r="G56" s="579" t="s">
        <v>1965</v>
      </c>
      <c r="H56" s="482">
        <v>1</v>
      </c>
      <c r="I56" s="580">
        <v>41088</v>
      </c>
      <c r="J56" s="580">
        <v>41088</v>
      </c>
      <c r="K56" s="581">
        <v>16000</v>
      </c>
      <c r="L56" s="581">
        <v>1367.52</v>
      </c>
      <c r="M56" s="582"/>
      <c r="N56" s="582"/>
      <c r="O56" s="582"/>
      <c r="P56" s="582">
        <f t="shared" si="0"/>
        <v>16000</v>
      </c>
      <c r="Q56" s="582">
        <f t="shared" si="1"/>
        <v>1367.52</v>
      </c>
      <c r="R56" s="583">
        <f t="shared" si="2"/>
        <v>13400</v>
      </c>
      <c r="S56" s="668">
        <f t="shared" si="23"/>
        <v>17</v>
      </c>
      <c r="T56" s="584">
        <v>5</v>
      </c>
      <c r="U56" s="585">
        <f t="shared" si="24"/>
        <v>1608</v>
      </c>
      <c r="V56" s="586">
        <f t="shared" si="3"/>
        <v>17.59</v>
      </c>
      <c r="W56" s="477"/>
      <c r="X56" s="618">
        <f>P56/H56</f>
        <v>16000</v>
      </c>
      <c r="Y56" s="618"/>
      <c r="Z56" s="489">
        <v>15700</v>
      </c>
      <c r="AA56" s="361">
        <f t="shared" si="5"/>
        <v>13418.8</v>
      </c>
      <c r="AB56" s="597"/>
      <c r="AC56" s="485">
        <f t="shared" si="6"/>
        <v>0</v>
      </c>
      <c r="AD56" s="597"/>
      <c r="AE56" s="485">
        <f t="shared" si="7"/>
        <v>0</v>
      </c>
      <c r="AF56" s="508">
        <f t="shared" si="8"/>
        <v>0</v>
      </c>
      <c r="AG56" s="508">
        <f t="shared" si="9"/>
        <v>0</v>
      </c>
      <c r="AH56" s="508">
        <f t="shared" si="10"/>
        <v>15700</v>
      </c>
      <c r="AI56" s="508">
        <f t="shared" si="11"/>
        <v>0</v>
      </c>
      <c r="AJ56" s="508">
        <f t="shared" si="12"/>
        <v>2281.1999999999998</v>
      </c>
      <c r="AK56" s="508">
        <f t="shared" si="13"/>
        <v>13400</v>
      </c>
      <c r="AL56" s="116">
        <v>10</v>
      </c>
      <c r="AM56" s="486">
        <f t="shared" si="14"/>
        <v>5.43</v>
      </c>
      <c r="AN56" s="117">
        <f t="shared" ref="AN56:AN87" si="25">ROUND((AL56-AM56),0)</f>
        <v>5</v>
      </c>
      <c r="AO56" s="487">
        <f t="shared" si="16"/>
        <v>48</v>
      </c>
      <c r="AP56" s="509">
        <f>AO56*AP$4</f>
        <v>17</v>
      </c>
    </row>
    <row r="57" spans="1:44" ht="14.25" customHeight="1">
      <c r="A57" s="701">
        <v>51</v>
      </c>
      <c r="B57" s="477"/>
      <c r="C57" s="477" t="s">
        <v>1594</v>
      </c>
      <c r="D57" s="477" t="s">
        <v>1219</v>
      </c>
      <c r="E57" s="475" t="s">
        <v>1453</v>
      </c>
      <c r="F57" s="611" t="s">
        <v>2002</v>
      </c>
      <c r="G57" s="579" t="s">
        <v>1968</v>
      </c>
      <c r="H57" s="482">
        <v>1</v>
      </c>
      <c r="I57" s="580">
        <v>41088</v>
      </c>
      <c r="J57" s="580">
        <v>41088</v>
      </c>
      <c r="K57" s="581">
        <v>17820.509999999998</v>
      </c>
      <c r="L57" s="581">
        <v>1523.12</v>
      </c>
      <c r="M57" s="582"/>
      <c r="N57" s="582"/>
      <c r="O57" s="582"/>
      <c r="P57" s="582">
        <f t="shared" si="0"/>
        <v>17820.509999999998</v>
      </c>
      <c r="Q57" s="582">
        <f t="shared" si="1"/>
        <v>1523.12</v>
      </c>
      <c r="R57" s="583">
        <f t="shared" si="2"/>
        <v>0</v>
      </c>
      <c r="S57" s="584"/>
      <c r="T57" s="584">
        <v>4</v>
      </c>
      <c r="U57" s="585">
        <f>ROUND(R57*(1-T57/100),0)</f>
        <v>0</v>
      </c>
      <c r="V57" s="586">
        <f t="shared" si="3"/>
        <v>-100</v>
      </c>
      <c r="W57" s="611" t="s">
        <v>2078</v>
      </c>
      <c r="X57" s="619">
        <f t="shared" ref="X57:X94" si="26">P57*1.17/H57</f>
        <v>20850</v>
      </c>
      <c r="Y57" s="618"/>
      <c r="Z57" s="617">
        <v>0</v>
      </c>
      <c r="AA57" s="361">
        <f t="shared" si="5"/>
        <v>0</v>
      </c>
      <c r="AB57" s="597"/>
      <c r="AC57" s="485">
        <f t="shared" si="6"/>
        <v>0</v>
      </c>
      <c r="AD57" s="597"/>
      <c r="AE57" s="485">
        <f t="shared" si="7"/>
        <v>0</v>
      </c>
      <c r="AF57" s="508">
        <f t="shared" si="8"/>
        <v>0</v>
      </c>
      <c r="AG57" s="508">
        <f t="shared" si="9"/>
        <v>0</v>
      </c>
      <c r="AH57" s="508">
        <f t="shared" si="10"/>
        <v>0</v>
      </c>
      <c r="AI57" s="508">
        <f t="shared" si="11"/>
        <v>0</v>
      </c>
      <c r="AJ57" s="508">
        <f t="shared" si="12"/>
        <v>0</v>
      </c>
      <c r="AK57" s="508">
        <f t="shared" si="13"/>
        <v>0</v>
      </c>
      <c r="AL57" s="116">
        <v>10</v>
      </c>
      <c r="AM57" s="486">
        <f t="shared" si="14"/>
        <v>5.43</v>
      </c>
      <c r="AN57" s="117">
        <f t="shared" si="25"/>
        <v>5</v>
      </c>
      <c r="AO57" s="487">
        <f t="shared" si="16"/>
        <v>48</v>
      </c>
      <c r="AP57" s="509"/>
    </row>
    <row r="58" spans="1:44" ht="14.25" customHeight="1">
      <c r="A58" s="701">
        <v>52</v>
      </c>
      <c r="B58" s="477"/>
      <c r="C58" s="477" t="s">
        <v>1739</v>
      </c>
      <c r="D58" s="477" t="s">
        <v>1220</v>
      </c>
      <c r="E58" s="475" t="s">
        <v>1453</v>
      </c>
      <c r="F58" s="611" t="s">
        <v>2002</v>
      </c>
      <c r="G58" s="482" t="s">
        <v>1943</v>
      </c>
      <c r="H58" s="482">
        <v>1</v>
      </c>
      <c r="I58" s="580">
        <v>41088</v>
      </c>
      <c r="J58" s="580">
        <v>41088</v>
      </c>
      <c r="K58" s="581">
        <v>73602.559999999998</v>
      </c>
      <c r="L58" s="581">
        <v>6290.82</v>
      </c>
      <c r="M58" s="582"/>
      <c r="N58" s="582"/>
      <c r="O58" s="582"/>
      <c r="P58" s="582">
        <f t="shared" si="0"/>
        <v>73602.559999999998</v>
      </c>
      <c r="Q58" s="582">
        <f t="shared" si="1"/>
        <v>6290.82</v>
      </c>
      <c r="R58" s="583">
        <f t="shared" si="2"/>
        <v>200</v>
      </c>
      <c r="S58" s="584"/>
      <c r="T58" s="584">
        <v>3</v>
      </c>
      <c r="U58" s="585">
        <f>ROUND(R58*(1-T58/100),0)</f>
        <v>194</v>
      </c>
      <c r="V58" s="586">
        <f t="shared" si="3"/>
        <v>-96.92</v>
      </c>
      <c r="W58" s="611" t="s">
        <v>2074</v>
      </c>
      <c r="X58" s="619">
        <f t="shared" si="26"/>
        <v>86115</v>
      </c>
      <c r="Y58" s="618"/>
      <c r="Z58" s="617">
        <v>200</v>
      </c>
      <c r="AA58" s="361">
        <f t="shared" si="5"/>
        <v>170.94</v>
      </c>
      <c r="AB58" s="597"/>
      <c r="AC58" s="485">
        <f t="shared" si="6"/>
        <v>0</v>
      </c>
      <c r="AD58" s="597"/>
      <c r="AE58" s="485">
        <f t="shared" si="7"/>
        <v>0</v>
      </c>
      <c r="AF58" s="508">
        <f t="shared" si="8"/>
        <v>0</v>
      </c>
      <c r="AG58" s="508">
        <f t="shared" si="9"/>
        <v>0</v>
      </c>
      <c r="AH58" s="508">
        <f t="shared" si="10"/>
        <v>200</v>
      </c>
      <c r="AI58" s="508">
        <f t="shared" si="11"/>
        <v>0</v>
      </c>
      <c r="AJ58" s="508">
        <f t="shared" si="12"/>
        <v>29.06</v>
      </c>
      <c r="AK58" s="508">
        <f t="shared" si="13"/>
        <v>200</v>
      </c>
      <c r="AM58" s="486">
        <f t="shared" si="14"/>
        <v>5.43</v>
      </c>
      <c r="AN58" s="117">
        <f t="shared" si="25"/>
        <v>-5</v>
      </c>
      <c r="AO58" s="487">
        <f t="shared" si="16"/>
        <v>-1163</v>
      </c>
      <c r="AP58" s="509"/>
    </row>
    <row r="59" spans="1:44" ht="14.25" customHeight="1">
      <c r="A59" s="701">
        <v>53</v>
      </c>
      <c r="B59" s="477"/>
      <c r="C59" s="477" t="s">
        <v>1607</v>
      </c>
      <c r="D59" s="477"/>
      <c r="E59" s="475" t="s">
        <v>1453</v>
      </c>
      <c r="F59" s="477"/>
      <c r="G59" s="579" t="s">
        <v>1923</v>
      </c>
      <c r="H59" s="482">
        <v>1</v>
      </c>
      <c r="I59" s="580">
        <v>41088</v>
      </c>
      <c r="J59" s="580">
        <v>41088</v>
      </c>
      <c r="K59" s="581">
        <v>99616.26</v>
      </c>
      <c r="L59" s="581">
        <v>8514.2099999999991</v>
      </c>
      <c r="M59" s="582"/>
      <c r="N59" s="582"/>
      <c r="O59" s="582"/>
      <c r="P59" s="582">
        <f t="shared" si="0"/>
        <v>99616.26</v>
      </c>
      <c r="Q59" s="582">
        <f t="shared" si="1"/>
        <v>8514.2099999999991</v>
      </c>
      <c r="R59" s="583">
        <f t="shared" si="2"/>
        <v>100</v>
      </c>
      <c r="S59" s="584"/>
      <c r="T59" s="584">
        <v>4</v>
      </c>
      <c r="U59" s="585">
        <f>ROUND(R59*(1-T59/100),0)</f>
        <v>96</v>
      </c>
      <c r="V59" s="586">
        <f t="shared" si="3"/>
        <v>-98.87</v>
      </c>
      <c r="W59" s="611" t="s">
        <v>2079</v>
      </c>
      <c r="X59" s="619">
        <f t="shared" si="26"/>
        <v>116551.02</v>
      </c>
      <c r="Y59" s="618"/>
      <c r="Z59" s="617">
        <v>100</v>
      </c>
      <c r="AA59" s="361">
        <f t="shared" si="5"/>
        <v>85.47</v>
      </c>
      <c r="AB59" s="597"/>
      <c r="AC59" s="485">
        <f t="shared" si="6"/>
        <v>0</v>
      </c>
      <c r="AD59" s="597"/>
      <c r="AE59" s="485">
        <f t="shared" si="7"/>
        <v>0</v>
      </c>
      <c r="AF59" s="508">
        <f t="shared" si="8"/>
        <v>0</v>
      </c>
      <c r="AG59" s="508">
        <f t="shared" si="9"/>
        <v>0</v>
      </c>
      <c r="AH59" s="508">
        <f t="shared" si="10"/>
        <v>100</v>
      </c>
      <c r="AI59" s="508">
        <f t="shared" si="11"/>
        <v>0</v>
      </c>
      <c r="AJ59" s="508">
        <f t="shared" si="12"/>
        <v>14.53</v>
      </c>
      <c r="AK59" s="508">
        <f t="shared" si="13"/>
        <v>100</v>
      </c>
      <c r="AL59" s="116">
        <v>10</v>
      </c>
      <c r="AM59" s="486">
        <f t="shared" si="14"/>
        <v>5.43</v>
      </c>
      <c r="AN59" s="117">
        <f t="shared" si="25"/>
        <v>5</v>
      </c>
      <c r="AO59" s="487">
        <f t="shared" si="16"/>
        <v>48</v>
      </c>
      <c r="AP59" s="509"/>
    </row>
    <row r="60" spans="1:44" ht="14.25" customHeight="1">
      <c r="A60" s="701">
        <v>54</v>
      </c>
      <c r="B60" s="477"/>
      <c r="C60" s="477" t="s">
        <v>1466</v>
      </c>
      <c r="D60" s="477" t="s">
        <v>1221</v>
      </c>
      <c r="E60" s="475" t="s">
        <v>1453</v>
      </c>
      <c r="F60" s="477"/>
      <c r="G60" s="482" t="s">
        <v>1943</v>
      </c>
      <c r="H60" s="482">
        <v>1</v>
      </c>
      <c r="I60" s="580">
        <v>41205</v>
      </c>
      <c r="J60" s="580">
        <v>41205</v>
      </c>
      <c r="K60" s="581">
        <v>92307.7</v>
      </c>
      <c r="L60" s="581">
        <v>7889.55</v>
      </c>
      <c r="M60" s="582"/>
      <c r="N60" s="582"/>
      <c r="O60" s="582"/>
      <c r="P60" s="582">
        <f t="shared" si="0"/>
        <v>92307.7</v>
      </c>
      <c r="Q60" s="582">
        <f t="shared" si="1"/>
        <v>7889.55</v>
      </c>
      <c r="R60" s="583">
        <f t="shared" si="2"/>
        <v>100</v>
      </c>
      <c r="S60" s="584"/>
      <c r="T60" s="584"/>
      <c r="U60" s="585">
        <f>ROUND(R60*(1-T60/100),0)</f>
        <v>100</v>
      </c>
      <c r="V60" s="586">
        <f t="shared" si="3"/>
        <v>-98.73</v>
      </c>
      <c r="W60" s="611" t="s">
        <v>2074</v>
      </c>
      <c r="X60" s="619">
        <f t="shared" si="26"/>
        <v>108000.01</v>
      </c>
      <c r="Y60" s="618"/>
      <c r="Z60" s="617">
        <v>100</v>
      </c>
      <c r="AA60" s="361">
        <f t="shared" si="5"/>
        <v>85.47</v>
      </c>
      <c r="AB60" s="597"/>
      <c r="AC60" s="485">
        <f t="shared" si="6"/>
        <v>0</v>
      </c>
      <c r="AD60" s="597"/>
      <c r="AE60" s="485">
        <f t="shared" si="7"/>
        <v>0</v>
      </c>
      <c r="AF60" s="508">
        <f t="shared" si="8"/>
        <v>0</v>
      </c>
      <c r="AG60" s="508">
        <f t="shared" si="9"/>
        <v>0</v>
      </c>
      <c r="AH60" s="508">
        <f t="shared" si="10"/>
        <v>100</v>
      </c>
      <c r="AI60" s="508">
        <f t="shared" si="11"/>
        <v>0</v>
      </c>
      <c r="AJ60" s="508">
        <f t="shared" si="12"/>
        <v>14.53</v>
      </c>
      <c r="AK60" s="508">
        <f t="shared" si="13"/>
        <v>100</v>
      </c>
      <c r="AL60" s="116">
        <v>6</v>
      </c>
      <c r="AM60" s="486">
        <f t="shared" si="14"/>
        <v>5.1100000000000003</v>
      </c>
      <c r="AN60" s="117">
        <f t="shared" si="25"/>
        <v>1</v>
      </c>
      <c r="AO60" s="487">
        <f t="shared" si="16"/>
        <v>16</v>
      </c>
      <c r="AP60" s="509"/>
    </row>
    <row r="61" spans="1:44" ht="14.25" customHeight="1">
      <c r="A61" s="701">
        <v>55</v>
      </c>
      <c r="B61" s="477"/>
      <c r="C61" s="477" t="s">
        <v>1572</v>
      </c>
      <c r="D61" s="477"/>
      <c r="E61" s="475" t="s">
        <v>1453</v>
      </c>
      <c r="F61" s="477"/>
      <c r="G61" s="482" t="s">
        <v>1947</v>
      </c>
      <c r="H61" s="482">
        <v>1</v>
      </c>
      <c r="I61" s="580">
        <v>40969</v>
      </c>
      <c r="J61" s="580">
        <v>40969</v>
      </c>
      <c r="K61" s="581">
        <v>14205.13</v>
      </c>
      <c r="L61" s="581">
        <v>1214.1099999999999</v>
      </c>
      <c r="M61" s="582"/>
      <c r="N61" s="582"/>
      <c r="O61" s="582"/>
      <c r="P61" s="582">
        <f t="shared" si="0"/>
        <v>14205.13</v>
      </c>
      <c r="Q61" s="582">
        <f t="shared" si="1"/>
        <v>1214.1099999999999</v>
      </c>
      <c r="R61" s="583">
        <f t="shared" si="2"/>
        <v>0</v>
      </c>
      <c r="S61" s="584"/>
      <c r="T61" s="584"/>
      <c r="U61" s="585">
        <f>ROUND(R61*(1-T61/100),0)</f>
        <v>0</v>
      </c>
      <c r="V61" s="586">
        <f t="shared" si="3"/>
        <v>-100</v>
      </c>
      <c r="W61" s="611" t="s">
        <v>2079</v>
      </c>
      <c r="X61" s="619">
        <f t="shared" si="26"/>
        <v>16620</v>
      </c>
      <c r="Y61" s="618"/>
      <c r="Z61" s="617">
        <v>0</v>
      </c>
      <c r="AA61" s="361">
        <f t="shared" si="5"/>
        <v>0</v>
      </c>
      <c r="AB61" s="597"/>
      <c r="AC61" s="485">
        <f t="shared" si="6"/>
        <v>0</v>
      </c>
      <c r="AD61" s="597"/>
      <c r="AE61" s="485">
        <f t="shared" si="7"/>
        <v>0</v>
      </c>
      <c r="AF61" s="508">
        <f t="shared" si="8"/>
        <v>0</v>
      </c>
      <c r="AG61" s="508">
        <f t="shared" si="9"/>
        <v>0</v>
      </c>
      <c r="AH61" s="508">
        <f t="shared" si="10"/>
        <v>0</v>
      </c>
      <c r="AI61" s="508">
        <f t="shared" si="11"/>
        <v>0</v>
      </c>
      <c r="AJ61" s="508">
        <f t="shared" si="12"/>
        <v>0</v>
      </c>
      <c r="AK61" s="508">
        <f t="shared" si="13"/>
        <v>0</v>
      </c>
      <c r="AL61" s="116">
        <v>6</v>
      </c>
      <c r="AM61" s="486">
        <f t="shared" si="14"/>
        <v>5.75</v>
      </c>
      <c r="AN61" s="117">
        <f t="shared" si="25"/>
        <v>0</v>
      </c>
      <c r="AO61" s="487">
        <f t="shared" si="16"/>
        <v>0</v>
      </c>
      <c r="AP61" s="509"/>
    </row>
    <row r="62" spans="1:44" ht="14.25" customHeight="1">
      <c r="A62" s="701">
        <v>56</v>
      </c>
      <c r="B62" s="477"/>
      <c r="C62" s="477" t="s">
        <v>1700</v>
      </c>
      <c r="D62" s="477" t="s">
        <v>1222</v>
      </c>
      <c r="E62" s="475" t="s">
        <v>1453</v>
      </c>
      <c r="F62" s="477"/>
      <c r="G62" s="579" t="s">
        <v>1963</v>
      </c>
      <c r="H62" s="482">
        <v>1</v>
      </c>
      <c r="I62" s="580">
        <v>40959</v>
      </c>
      <c r="J62" s="580">
        <v>40959</v>
      </c>
      <c r="K62" s="581">
        <v>24786.32</v>
      </c>
      <c r="L62" s="581">
        <v>2118.4899999999998</v>
      </c>
      <c r="M62" s="582"/>
      <c r="N62" s="582"/>
      <c r="O62" s="582"/>
      <c r="P62" s="582">
        <f t="shared" si="0"/>
        <v>24786.32</v>
      </c>
      <c r="Q62" s="582">
        <f t="shared" si="1"/>
        <v>2118.4899999999998</v>
      </c>
      <c r="R62" s="583">
        <f t="shared" si="2"/>
        <v>23100</v>
      </c>
      <c r="S62" s="668">
        <f>AP62</f>
        <v>10</v>
      </c>
      <c r="T62" s="584"/>
      <c r="U62" s="585">
        <f>IF(S62="",R62,ROUND(R62*S62/100,0))</f>
        <v>2310</v>
      </c>
      <c r="V62" s="586">
        <f t="shared" si="3"/>
        <v>9.0399999999999991</v>
      </c>
      <c r="W62" s="477"/>
      <c r="X62" s="619">
        <f t="shared" si="26"/>
        <v>28999.99</v>
      </c>
      <c r="Y62" s="618"/>
      <c r="Z62" s="489">
        <v>27000</v>
      </c>
      <c r="AA62" s="361">
        <f t="shared" si="5"/>
        <v>23076.92</v>
      </c>
      <c r="AB62" s="597"/>
      <c r="AC62" s="485">
        <f t="shared" si="6"/>
        <v>0</v>
      </c>
      <c r="AD62" s="597"/>
      <c r="AE62" s="485">
        <f t="shared" si="7"/>
        <v>0</v>
      </c>
      <c r="AF62" s="508">
        <f t="shared" si="8"/>
        <v>0</v>
      </c>
      <c r="AG62" s="508">
        <f t="shared" si="9"/>
        <v>0</v>
      </c>
      <c r="AH62" s="508">
        <f t="shared" si="10"/>
        <v>27000</v>
      </c>
      <c r="AI62" s="508">
        <f t="shared" si="11"/>
        <v>0</v>
      </c>
      <c r="AJ62" s="508">
        <f t="shared" si="12"/>
        <v>3923.08</v>
      </c>
      <c r="AK62" s="508">
        <f t="shared" si="13"/>
        <v>23100</v>
      </c>
      <c r="AL62" s="116">
        <v>8</v>
      </c>
      <c r="AM62" s="486">
        <f t="shared" si="14"/>
        <v>5.78</v>
      </c>
      <c r="AN62" s="117">
        <f t="shared" si="25"/>
        <v>2</v>
      </c>
      <c r="AO62" s="487">
        <f t="shared" si="16"/>
        <v>26</v>
      </c>
      <c r="AP62" s="667">
        <v>10</v>
      </c>
    </row>
    <row r="63" spans="1:44" ht="14.25" customHeight="1">
      <c r="A63" s="701">
        <v>57</v>
      </c>
      <c r="B63" s="477"/>
      <c r="C63" s="477" t="s">
        <v>1687</v>
      </c>
      <c r="D63" s="477" t="s">
        <v>1223</v>
      </c>
      <c r="E63" s="475" t="s">
        <v>1453</v>
      </c>
      <c r="F63" s="477"/>
      <c r="G63" s="579" t="s">
        <v>1968</v>
      </c>
      <c r="H63" s="482">
        <v>1</v>
      </c>
      <c r="I63" s="580">
        <v>40969</v>
      </c>
      <c r="J63" s="580">
        <v>40969</v>
      </c>
      <c r="K63" s="581">
        <v>5982.91</v>
      </c>
      <c r="L63" s="581">
        <v>511.36</v>
      </c>
      <c r="M63" s="582"/>
      <c r="N63" s="582"/>
      <c r="O63" s="582"/>
      <c r="P63" s="582">
        <f t="shared" si="0"/>
        <v>5982.91</v>
      </c>
      <c r="Q63" s="582">
        <f t="shared" si="1"/>
        <v>511.36</v>
      </c>
      <c r="R63" s="583">
        <f t="shared" si="2"/>
        <v>0</v>
      </c>
      <c r="S63" s="584"/>
      <c r="T63" s="584"/>
      <c r="U63" s="585">
        <f>ROUND(R63*(1-T63/100),0)</f>
        <v>0</v>
      </c>
      <c r="V63" s="586">
        <f t="shared" si="3"/>
        <v>-100</v>
      </c>
      <c r="W63" s="611" t="s">
        <v>2076</v>
      </c>
      <c r="X63" s="619">
        <f t="shared" si="26"/>
        <v>7000</v>
      </c>
      <c r="Y63" s="618"/>
      <c r="Z63" s="617">
        <v>0</v>
      </c>
      <c r="AA63" s="361">
        <f t="shared" si="5"/>
        <v>0</v>
      </c>
      <c r="AB63" s="597"/>
      <c r="AC63" s="485">
        <f t="shared" si="6"/>
        <v>0</v>
      </c>
      <c r="AD63" s="597"/>
      <c r="AE63" s="485">
        <f t="shared" si="7"/>
        <v>0</v>
      </c>
      <c r="AF63" s="508">
        <f t="shared" si="8"/>
        <v>0</v>
      </c>
      <c r="AG63" s="508">
        <f t="shared" si="9"/>
        <v>0</v>
      </c>
      <c r="AH63" s="508">
        <f t="shared" si="10"/>
        <v>0</v>
      </c>
      <c r="AI63" s="508">
        <f t="shared" si="11"/>
        <v>0</v>
      </c>
      <c r="AJ63" s="508">
        <f t="shared" si="12"/>
        <v>0</v>
      </c>
      <c r="AK63" s="508">
        <f t="shared" si="13"/>
        <v>0</v>
      </c>
      <c r="AM63" s="486">
        <f t="shared" si="14"/>
        <v>5.75</v>
      </c>
      <c r="AN63" s="117">
        <f t="shared" si="25"/>
        <v>-6</v>
      </c>
      <c r="AO63" s="487">
        <f t="shared" si="16"/>
        <v>2400</v>
      </c>
      <c r="AP63" s="509"/>
    </row>
    <row r="64" spans="1:44" ht="14.25" customHeight="1">
      <c r="A64" s="701">
        <v>58</v>
      </c>
      <c r="B64" s="477"/>
      <c r="C64" s="477" t="s">
        <v>1473</v>
      </c>
      <c r="D64" s="477" t="s">
        <v>1496</v>
      </c>
      <c r="E64" s="475" t="s">
        <v>1453</v>
      </c>
      <c r="F64" s="611" t="s">
        <v>1428</v>
      </c>
      <c r="G64" s="482" t="s">
        <v>1945</v>
      </c>
      <c r="H64" s="482">
        <v>1</v>
      </c>
      <c r="I64" s="580">
        <v>41130</v>
      </c>
      <c r="J64" s="580">
        <v>41130</v>
      </c>
      <c r="K64" s="616">
        <f>4700.85+52191.26</f>
        <v>56892.11</v>
      </c>
      <c r="L64" s="581">
        <v>4862.57</v>
      </c>
      <c r="M64" s="582"/>
      <c r="N64" s="582"/>
      <c r="O64" s="582"/>
      <c r="P64" s="582">
        <f t="shared" si="0"/>
        <v>56892.11</v>
      </c>
      <c r="Q64" s="582">
        <f t="shared" si="1"/>
        <v>4862.57</v>
      </c>
      <c r="R64" s="583">
        <f t="shared" si="2"/>
        <v>51300</v>
      </c>
      <c r="S64" s="668">
        <f>AP64</f>
        <v>10</v>
      </c>
      <c r="T64" s="584"/>
      <c r="U64" s="585">
        <f>IF(S64="",R64,ROUND(R64*S64/100,0))</f>
        <v>5130</v>
      </c>
      <c r="V64" s="586">
        <f t="shared" si="3"/>
        <v>5.5</v>
      </c>
      <c r="W64" s="477"/>
      <c r="X64" s="619">
        <f t="shared" si="26"/>
        <v>66563.77</v>
      </c>
      <c r="Y64" s="618"/>
      <c r="Z64" s="489">
        <v>60000</v>
      </c>
      <c r="AA64" s="361">
        <f t="shared" si="5"/>
        <v>51282.05</v>
      </c>
      <c r="AB64" s="597"/>
      <c r="AC64" s="485">
        <f t="shared" si="6"/>
        <v>0</v>
      </c>
      <c r="AD64" s="597"/>
      <c r="AE64" s="485">
        <f t="shared" si="7"/>
        <v>0</v>
      </c>
      <c r="AF64" s="508">
        <f t="shared" si="8"/>
        <v>0</v>
      </c>
      <c r="AG64" s="508">
        <f t="shared" si="9"/>
        <v>0</v>
      </c>
      <c r="AH64" s="508">
        <f t="shared" si="10"/>
        <v>60000</v>
      </c>
      <c r="AI64" s="508">
        <f t="shared" si="11"/>
        <v>0</v>
      </c>
      <c r="AJ64" s="508">
        <f t="shared" si="12"/>
        <v>8717.9500000000007</v>
      </c>
      <c r="AK64" s="508">
        <f t="shared" si="13"/>
        <v>51300</v>
      </c>
      <c r="AL64" s="116">
        <v>6</v>
      </c>
      <c r="AM64" s="486">
        <f t="shared" si="14"/>
        <v>5.31</v>
      </c>
      <c r="AN64" s="117">
        <f t="shared" si="25"/>
        <v>1</v>
      </c>
      <c r="AO64" s="487">
        <f t="shared" si="16"/>
        <v>16</v>
      </c>
      <c r="AP64" s="667">
        <v>10</v>
      </c>
      <c r="AQ64" s="621">
        <v>4700.8500000000004</v>
      </c>
      <c r="AR64" s="621">
        <v>0</v>
      </c>
    </row>
    <row r="65" spans="1:42" ht="14.25" customHeight="1">
      <c r="A65" s="701">
        <v>59</v>
      </c>
      <c r="B65" s="477"/>
      <c r="C65" s="477" t="s">
        <v>1183</v>
      </c>
      <c r="D65" s="477" t="s">
        <v>1474</v>
      </c>
      <c r="E65" s="475" t="s">
        <v>1453</v>
      </c>
      <c r="F65" s="477" t="s">
        <v>1475</v>
      </c>
      <c r="G65" s="482" t="s">
        <v>1945</v>
      </c>
      <c r="H65" s="482">
        <v>1</v>
      </c>
      <c r="I65" s="580">
        <v>40969</v>
      </c>
      <c r="J65" s="580">
        <v>40969</v>
      </c>
      <c r="K65" s="581">
        <v>5429.57</v>
      </c>
      <c r="L65" s="581">
        <v>464.07</v>
      </c>
      <c r="M65" s="582"/>
      <c r="N65" s="582"/>
      <c r="O65" s="582"/>
      <c r="P65" s="582">
        <f t="shared" si="0"/>
        <v>5429.57</v>
      </c>
      <c r="Q65" s="582">
        <f t="shared" si="1"/>
        <v>464.07</v>
      </c>
      <c r="R65" s="583">
        <f t="shared" si="2"/>
        <v>0</v>
      </c>
      <c r="S65" s="584"/>
      <c r="T65" s="584"/>
      <c r="U65" s="585">
        <f>ROUND(R65*(1-T65/100),0)</f>
        <v>0</v>
      </c>
      <c r="V65" s="586">
        <f t="shared" si="3"/>
        <v>-100</v>
      </c>
      <c r="W65" s="611" t="s">
        <v>2074</v>
      </c>
      <c r="X65" s="619">
        <f t="shared" si="26"/>
        <v>6352.6</v>
      </c>
      <c r="Y65" s="618"/>
      <c r="Z65" s="617">
        <v>0</v>
      </c>
      <c r="AA65" s="361">
        <f t="shared" si="5"/>
        <v>0</v>
      </c>
      <c r="AB65" s="597"/>
      <c r="AC65" s="485">
        <f t="shared" si="6"/>
        <v>0</v>
      </c>
      <c r="AD65" s="597"/>
      <c r="AE65" s="485">
        <f t="shared" si="7"/>
        <v>0</v>
      </c>
      <c r="AF65" s="508">
        <f t="shared" si="8"/>
        <v>0</v>
      </c>
      <c r="AG65" s="508">
        <f t="shared" si="9"/>
        <v>0</v>
      </c>
      <c r="AH65" s="508">
        <f t="shared" si="10"/>
        <v>0</v>
      </c>
      <c r="AI65" s="508">
        <f t="shared" si="11"/>
        <v>0</v>
      </c>
      <c r="AJ65" s="508">
        <f t="shared" si="12"/>
        <v>0</v>
      </c>
      <c r="AK65" s="508">
        <f t="shared" si="13"/>
        <v>0</v>
      </c>
      <c r="AL65" s="116">
        <v>5</v>
      </c>
      <c r="AM65" s="486">
        <f t="shared" si="14"/>
        <v>5.75</v>
      </c>
      <c r="AN65" s="117">
        <f t="shared" si="25"/>
        <v>-1</v>
      </c>
      <c r="AO65" s="487">
        <f t="shared" si="16"/>
        <v>-21</v>
      </c>
      <c r="AP65" s="509"/>
    </row>
    <row r="66" spans="1:42" ht="14.25" customHeight="1">
      <c r="A66" s="701">
        <v>60</v>
      </c>
      <c r="B66" s="477"/>
      <c r="C66" s="477" t="s">
        <v>1576</v>
      </c>
      <c r="D66" s="477"/>
      <c r="E66" s="475" t="s">
        <v>1453</v>
      </c>
      <c r="F66" s="611" t="s">
        <v>2003</v>
      </c>
      <c r="G66" s="579" t="s">
        <v>1968</v>
      </c>
      <c r="H66" s="482">
        <v>1</v>
      </c>
      <c r="I66" s="580">
        <v>40969</v>
      </c>
      <c r="J66" s="580">
        <v>40969</v>
      </c>
      <c r="K66" s="581">
        <v>2564.1</v>
      </c>
      <c r="L66" s="581">
        <v>0</v>
      </c>
      <c r="M66" s="582"/>
      <c r="N66" s="582"/>
      <c r="O66" s="582"/>
      <c r="P66" s="582">
        <f t="shared" si="0"/>
        <v>2564.1</v>
      </c>
      <c r="Q66" s="582">
        <f t="shared" si="1"/>
        <v>0</v>
      </c>
      <c r="R66" s="583">
        <f t="shared" si="2"/>
        <v>0</v>
      </c>
      <c r="S66" s="584"/>
      <c r="T66" s="584"/>
      <c r="U66" s="585">
        <f>ROUND(R66*(1-T66/100),0)</f>
        <v>0</v>
      </c>
      <c r="V66" s="586" t="str">
        <f t="shared" si="3"/>
        <v/>
      </c>
      <c r="W66" s="611" t="s">
        <v>2079</v>
      </c>
      <c r="X66" s="619">
        <f t="shared" si="26"/>
        <v>3000</v>
      </c>
      <c r="Y66" s="618"/>
      <c r="Z66" s="617">
        <v>0</v>
      </c>
      <c r="AA66" s="361">
        <f t="shared" si="5"/>
        <v>0</v>
      </c>
      <c r="AB66" s="597"/>
      <c r="AC66" s="485">
        <f t="shared" si="6"/>
        <v>0</v>
      </c>
      <c r="AD66" s="597"/>
      <c r="AE66" s="485">
        <f t="shared" si="7"/>
        <v>0</v>
      </c>
      <c r="AF66" s="508">
        <f t="shared" si="8"/>
        <v>0</v>
      </c>
      <c r="AG66" s="508">
        <f t="shared" si="9"/>
        <v>0</v>
      </c>
      <c r="AH66" s="508">
        <f t="shared" si="10"/>
        <v>0</v>
      </c>
      <c r="AI66" s="508">
        <f t="shared" si="11"/>
        <v>0</v>
      </c>
      <c r="AJ66" s="508">
        <f t="shared" si="12"/>
        <v>0</v>
      </c>
      <c r="AK66" s="508">
        <f t="shared" si="13"/>
        <v>0</v>
      </c>
      <c r="AM66" s="486">
        <f t="shared" si="14"/>
        <v>5.75</v>
      </c>
      <c r="AN66" s="117">
        <f t="shared" si="25"/>
        <v>-6</v>
      </c>
      <c r="AO66" s="487">
        <f t="shared" si="16"/>
        <v>2400</v>
      </c>
      <c r="AP66" s="509"/>
    </row>
    <row r="67" spans="1:42" ht="14.25" customHeight="1">
      <c r="A67" s="701">
        <v>61</v>
      </c>
      <c r="B67" s="477"/>
      <c r="C67" s="477" t="s">
        <v>1650</v>
      </c>
      <c r="D67" s="477" t="s">
        <v>1224</v>
      </c>
      <c r="E67" s="475" t="s">
        <v>1453</v>
      </c>
      <c r="F67" s="611" t="s">
        <v>2003</v>
      </c>
      <c r="G67" s="482" t="s">
        <v>1943</v>
      </c>
      <c r="H67" s="482">
        <v>1</v>
      </c>
      <c r="I67" s="580">
        <v>40983</v>
      </c>
      <c r="J67" s="580">
        <v>40983</v>
      </c>
      <c r="K67" s="581">
        <v>3948.72</v>
      </c>
      <c r="L67" s="581">
        <v>0</v>
      </c>
      <c r="M67" s="582"/>
      <c r="N67" s="582"/>
      <c r="O67" s="582"/>
      <c r="P67" s="582">
        <f t="shared" si="0"/>
        <v>3948.72</v>
      </c>
      <c r="Q67" s="582">
        <f t="shared" si="1"/>
        <v>0</v>
      </c>
      <c r="R67" s="583">
        <f t="shared" si="2"/>
        <v>100</v>
      </c>
      <c r="S67" s="584"/>
      <c r="T67" s="584">
        <v>5</v>
      </c>
      <c r="U67" s="585">
        <f>ROUND(R67*(1-T67/100),0)</f>
        <v>95</v>
      </c>
      <c r="V67" s="586" t="str">
        <f t="shared" si="3"/>
        <v/>
      </c>
      <c r="W67" s="611" t="s">
        <v>2079</v>
      </c>
      <c r="X67" s="619">
        <f t="shared" si="26"/>
        <v>4620</v>
      </c>
      <c r="Y67" s="618"/>
      <c r="Z67" s="489">
        <v>100</v>
      </c>
      <c r="AA67" s="361">
        <f t="shared" si="5"/>
        <v>85.47</v>
      </c>
      <c r="AB67" s="597"/>
      <c r="AC67" s="485">
        <f t="shared" si="6"/>
        <v>0</v>
      </c>
      <c r="AD67" s="597"/>
      <c r="AE67" s="485">
        <f t="shared" si="7"/>
        <v>0</v>
      </c>
      <c r="AF67" s="508">
        <f t="shared" si="8"/>
        <v>0</v>
      </c>
      <c r="AG67" s="508">
        <f t="shared" si="9"/>
        <v>0</v>
      </c>
      <c r="AH67" s="508">
        <f t="shared" si="10"/>
        <v>100</v>
      </c>
      <c r="AI67" s="508">
        <f t="shared" si="11"/>
        <v>0</v>
      </c>
      <c r="AJ67" s="508">
        <f t="shared" si="12"/>
        <v>14.53</v>
      </c>
      <c r="AK67" s="508">
        <f t="shared" si="13"/>
        <v>100</v>
      </c>
      <c r="AL67" s="116">
        <v>8</v>
      </c>
      <c r="AM67" s="486">
        <f t="shared" si="14"/>
        <v>5.72</v>
      </c>
      <c r="AN67" s="117">
        <f t="shared" si="25"/>
        <v>2</v>
      </c>
      <c r="AO67" s="487">
        <f t="shared" si="16"/>
        <v>26</v>
      </c>
      <c r="AP67" s="509"/>
    </row>
    <row r="68" spans="1:42" ht="14.25" customHeight="1">
      <c r="A68" s="701">
        <v>62</v>
      </c>
      <c r="B68" s="477"/>
      <c r="C68" s="477" t="s">
        <v>1472</v>
      </c>
      <c r="D68" s="477"/>
      <c r="E68" s="475" t="s">
        <v>1453</v>
      </c>
      <c r="F68" s="611" t="s">
        <v>2003</v>
      </c>
      <c r="G68" s="482" t="s">
        <v>1943</v>
      </c>
      <c r="H68" s="482">
        <v>1</v>
      </c>
      <c r="I68" s="580">
        <v>40983</v>
      </c>
      <c r="J68" s="580">
        <v>40983</v>
      </c>
      <c r="K68" s="581">
        <v>143076.92000000001</v>
      </c>
      <c r="L68" s="581">
        <v>4273.5</v>
      </c>
      <c r="M68" s="582"/>
      <c r="N68" s="582"/>
      <c r="O68" s="582"/>
      <c r="P68" s="582">
        <f t="shared" si="0"/>
        <v>143076.92000000001</v>
      </c>
      <c r="Q68" s="582">
        <f t="shared" si="1"/>
        <v>4273.5</v>
      </c>
      <c r="R68" s="583">
        <f t="shared" si="2"/>
        <v>0</v>
      </c>
      <c r="S68" s="584"/>
      <c r="T68" s="584"/>
      <c r="U68" s="585">
        <f>IF(S68="",R68,ROUND(R68*S68/100,0))</f>
        <v>0</v>
      </c>
      <c r="V68" s="586">
        <f t="shared" si="3"/>
        <v>-100</v>
      </c>
      <c r="W68" s="611" t="s">
        <v>2076</v>
      </c>
      <c r="X68" s="619">
        <f t="shared" si="26"/>
        <v>167400</v>
      </c>
      <c r="Y68" s="618"/>
      <c r="Z68" s="617">
        <v>0</v>
      </c>
      <c r="AA68" s="361">
        <f t="shared" si="5"/>
        <v>0</v>
      </c>
      <c r="AB68" s="597"/>
      <c r="AC68" s="485">
        <f t="shared" si="6"/>
        <v>0</v>
      </c>
      <c r="AD68" s="597"/>
      <c r="AE68" s="485">
        <f t="shared" si="7"/>
        <v>0</v>
      </c>
      <c r="AF68" s="508">
        <f t="shared" si="8"/>
        <v>0</v>
      </c>
      <c r="AG68" s="508">
        <f t="shared" si="9"/>
        <v>0</v>
      </c>
      <c r="AH68" s="508">
        <f t="shared" si="10"/>
        <v>0</v>
      </c>
      <c r="AI68" s="508">
        <f t="shared" si="11"/>
        <v>0</v>
      </c>
      <c r="AJ68" s="508">
        <f t="shared" si="12"/>
        <v>0</v>
      </c>
      <c r="AK68" s="508">
        <f t="shared" si="13"/>
        <v>0</v>
      </c>
      <c r="AM68" s="486">
        <f t="shared" si="14"/>
        <v>5.72</v>
      </c>
      <c r="AN68" s="117">
        <f t="shared" si="25"/>
        <v>-6</v>
      </c>
      <c r="AO68" s="487">
        <f t="shared" si="16"/>
        <v>2143</v>
      </c>
      <c r="AP68" s="509"/>
    </row>
    <row r="69" spans="1:42" ht="14.25" customHeight="1">
      <c r="A69" s="701">
        <v>63</v>
      </c>
      <c r="B69" s="477"/>
      <c r="C69" s="477" t="s">
        <v>1587</v>
      </c>
      <c r="D69" s="477" t="s">
        <v>1225</v>
      </c>
      <c r="E69" s="475" t="s">
        <v>1453</v>
      </c>
      <c r="F69" s="611" t="s">
        <v>2003</v>
      </c>
      <c r="G69" s="579" t="s">
        <v>1965</v>
      </c>
      <c r="H69" s="482">
        <v>1</v>
      </c>
      <c r="I69" s="580">
        <v>40983</v>
      </c>
      <c r="J69" s="580">
        <v>40983</v>
      </c>
      <c r="K69" s="581">
        <v>26495.73</v>
      </c>
      <c r="L69" s="581">
        <v>0</v>
      </c>
      <c r="M69" s="582"/>
      <c r="N69" s="582"/>
      <c r="O69" s="582"/>
      <c r="P69" s="582">
        <f t="shared" si="0"/>
        <v>26495.73</v>
      </c>
      <c r="Q69" s="582">
        <f t="shared" si="1"/>
        <v>0</v>
      </c>
      <c r="R69" s="583">
        <f t="shared" si="2"/>
        <v>100</v>
      </c>
      <c r="S69" s="584"/>
      <c r="T69" s="584">
        <v>4</v>
      </c>
      <c r="U69" s="585">
        <f>ROUND(R69*(1-T69/100),0)</f>
        <v>96</v>
      </c>
      <c r="V69" s="586" t="str">
        <f t="shared" si="3"/>
        <v/>
      </c>
      <c r="W69" s="611" t="s">
        <v>2078</v>
      </c>
      <c r="X69" s="619">
        <f t="shared" si="26"/>
        <v>31000</v>
      </c>
      <c r="Y69" s="618"/>
      <c r="Z69" s="617">
        <v>100</v>
      </c>
      <c r="AA69" s="361">
        <f t="shared" si="5"/>
        <v>85.47</v>
      </c>
      <c r="AB69" s="597"/>
      <c r="AC69" s="485">
        <f t="shared" si="6"/>
        <v>0</v>
      </c>
      <c r="AD69" s="597"/>
      <c r="AE69" s="485">
        <f t="shared" si="7"/>
        <v>0</v>
      </c>
      <c r="AF69" s="508">
        <f t="shared" si="8"/>
        <v>0</v>
      </c>
      <c r="AG69" s="508">
        <f t="shared" si="9"/>
        <v>0</v>
      </c>
      <c r="AH69" s="508">
        <f t="shared" si="10"/>
        <v>100</v>
      </c>
      <c r="AI69" s="508">
        <f t="shared" si="11"/>
        <v>0</v>
      </c>
      <c r="AJ69" s="508">
        <f t="shared" si="12"/>
        <v>14.53</v>
      </c>
      <c r="AK69" s="508">
        <f t="shared" si="13"/>
        <v>100</v>
      </c>
      <c r="AL69" s="116">
        <v>10</v>
      </c>
      <c r="AM69" s="486">
        <f t="shared" si="14"/>
        <v>5.72</v>
      </c>
      <c r="AN69" s="117">
        <f t="shared" si="25"/>
        <v>4</v>
      </c>
      <c r="AO69" s="487">
        <f t="shared" si="16"/>
        <v>41</v>
      </c>
      <c r="AP69" s="509"/>
    </row>
    <row r="70" spans="1:42" ht="14.25" customHeight="1">
      <c r="A70" s="701">
        <v>64</v>
      </c>
      <c r="B70" s="477"/>
      <c r="C70" s="477" t="s">
        <v>1586</v>
      </c>
      <c r="D70" s="477" t="s">
        <v>1226</v>
      </c>
      <c r="E70" s="475" t="s">
        <v>1453</v>
      </c>
      <c r="F70" s="611" t="s">
        <v>2003</v>
      </c>
      <c r="G70" s="482" t="s">
        <v>1943</v>
      </c>
      <c r="H70" s="482">
        <v>1</v>
      </c>
      <c r="I70" s="580">
        <v>40983</v>
      </c>
      <c r="J70" s="580">
        <v>40983</v>
      </c>
      <c r="K70" s="581">
        <v>2564.1</v>
      </c>
      <c r="L70" s="581">
        <v>0</v>
      </c>
      <c r="M70" s="582"/>
      <c r="N70" s="582"/>
      <c r="O70" s="582"/>
      <c r="P70" s="582">
        <f t="shared" si="0"/>
        <v>2564.1</v>
      </c>
      <c r="Q70" s="582">
        <f t="shared" si="1"/>
        <v>0</v>
      </c>
      <c r="R70" s="583">
        <f t="shared" si="2"/>
        <v>0</v>
      </c>
      <c r="S70" s="584"/>
      <c r="T70" s="584"/>
      <c r="U70" s="585">
        <f>ROUND(R70*(1-T70/100),0)</f>
        <v>0</v>
      </c>
      <c r="V70" s="586" t="str">
        <f t="shared" si="3"/>
        <v/>
      </c>
      <c r="W70" s="611" t="s">
        <v>2078</v>
      </c>
      <c r="X70" s="619">
        <f t="shared" si="26"/>
        <v>3000</v>
      </c>
      <c r="Y70" s="618"/>
      <c r="Z70" s="617">
        <v>0</v>
      </c>
      <c r="AA70" s="361">
        <f t="shared" si="5"/>
        <v>0</v>
      </c>
      <c r="AB70" s="597"/>
      <c r="AC70" s="485">
        <f t="shared" si="6"/>
        <v>0</v>
      </c>
      <c r="AD70" s="597"/>
      <c r="AE70" s="485">
        <f t="shared" si="7"/>
        <v>0</v>
      </c>
      <c r="AF70" s="508">
        <f t="shared" si="8"/>
        <v>0</v>
      </c>
      <c r="AG70" s="508">
        <f t="shared" si="9"/>
        <v>0</v>
      </c>
      <c r="AH70" s="508">
        <f t="shared" si="10"/>
        <v>0</v>
      </c>
      <c r="AI70" s="508">
        <f t="shared" si="11"/>
        <v>0</v>
      </c>
      <c r="AJ70" s="508">
        <f t="shared" si="12"/>
        <v>0</v>
      </c>
      <c r="AK70" s="508">
        <f t="shared" si="13"/>
        <v>0</v>
      </c>
      <c r="AL70" s="116">
        <v>8</v>
      </c>
      <c r="AM70" s="486">
        <f t="shared" si="14"/>
        <v>5.72</v>
      </c>
      <c r="AN70" s="117">
        <f t="shared" si="25"/>
        <v>2</v>
      </c>
      <c r="AO70" s="487">
        <f t="shared" si="16"/>
        <v>26</v>
      </c>
      <c r="AP70" s="509"/>
    </row>
    <row r="71" spans="1:42" ht="14.25" customHeight="1">
      <c r="A71" s="701">
        <v>65</v>
      </c>
      <c r="B71" s="477"/>
      <c r="C71" s="477" t="s">
        <v>1698</v>
      </c>
      <c r="D71" s="477" t="s">
        <v>1227</v>
      </c>
      <c r="E71" s="475" t="s">
        <v>1453</v>
      </c>
      <c r="F71" s="611" t="s">
        <v>2003</v>
      </c>
      <c r="G71" s="579" t="s">
        <v>1971</v>
      </c>
      <c r="H71" s="482">
        <v>1</v>
      </c>
      <c r="I71" s="580">
        <v>40983</v>
      </c>
      <c r="J71" s="580">
        <v>40983</v>
      </c>
      <c r="K71" s="581">
        <v>3675.21</v>
      </c>
      <c r="L71" s="581">
        <v>0</v>
      </c>
      <c r="M71" s="582"/>
      <c r="N71" s="582"/>
      <c r="O71" s="582"/>
      <c r="P71" s="582">
        <f t="shared" ref="P71:P134" si="27">K71+N71</f>
        <v>3675.21</v>
      </c>
      <c r="Q71" s="582">
        <f t="shared" ref="Q71:Q134" si="28">L71+O71</f>
        <v>0</v>
      </c>
      <c r="R71" s="583">
        <f t="shared" ref="R71:R134" si="29">AK71</f>
        <v>0</v>
      </c>
      <c r="S71" s="584"/>
      <c r="T71" s="584"/>
      <c r="U71" s="585">
        <f>ROUND(R71*(1-T71/100),0)</f>
        <v>0</v>
      </c>
      <c r="V71" s="586" t="str">
        <f t="shared" ref="V71:V134" si="30">IF(Q71=0,"",(U71-Q71)/Q71*100)</f>
        <v/>
      </c>
      <c r="W71" s="611" t="s">
        <v>2074</v>
      </c>
      <c r="X71" s="619">
        <f t="shared" si="26"/>
        <v>4300</v>
      </c>
      <c r="Y71" s="618"/>
      <c r="Z71" s="617">
        <v>0</v>
      </c>
      <c r="AA71" s="361">
        <f t="shared" ref="AA71:AA134" si="31">Z71/1.17</f>
        <v>0</v>
      </c>
      <c r="AB71" s="597"/>
      <c r="AC71" s="485">
        <f t="shared" ref="AC71:AC134" si="32">Z71*AB71</f>
        <v>0</v>
      </c>
      <c r="AD71" s="597"/>
      <c r="AE71" s="485">
        <f t="shared" ref="AE71:AE134" si="33">Z71*AD71</f>
        <v>0</v>
      </c>
      <c r="AF71" s="508">
        <f t="shared" ref="AF71:AF134" si="34">(Z71+AC71+AE71)*AF$4</f>
        <v>0</v>
      </c>
      <c r="AG71" s="508">
        <f t="shared" ref="AG71:AG134" si="35">(Z71+AC71+AE71)*AG$4</f>
        <v>0</v>
      </c>
      <c r="AH71" s="508">
        <f t="shared" ref="AH71:AH134" si="36">Z71+AC71+AE71+AF71</f>
        <v>0</v>
      </c>
      <c r="AI71" s="508">
        <f t="shared" ref="AI71:AI134" si="37">AH71*AI$3*AI$4/2</f>
        <v>0</v>
      </c>
      <c r="AJ71" s="508">
        <f t="shared" ref="AJ71:AJ134" si="38">Z71*0.17/1.17+AC71*0.11/1.11+AE71*0.11/1.11+AF71-AG71</f>
        <v>0</v>
      </c>
      <c r="AK71" s="508">
        <f t="shared" ref="AK71:AK134" si="39">ROUND((Z71+AC71+AE71+AF71+AI71-AJ71)*H71,-2)</f>
        <v>0</v>
      </c>
      <c r="AM71" s="486">
        <f t="shared" ref="AM71:AM134" si="40">(AM$4-J71)/365</f>
        <v>5.72</v>
      </c>
      <c r="AN71" s="117">
        <f t="shared" si="25"/>
        <v>-6</v>
      </c>
      <c r="AO71" s="487">
        <f t="shared" ref="AO71:AO134" si="41">AN71/(AM71+AN71)*100</f>
        <v>2143</v>
      </c>
      <c r="AP71" s="509"/>
    </row>
    <row r="72" spans="1:42" ht="14.25" customHeight="1">
      <c r="A72" s="701">
        <v>66</v>
      </c>
      <c r="B72" s="477"/>
      <c r="C72" s="477" t="s">
        <v>1596</v>
      </c>
      <c r="D72" s="477"/>
      <c r="E72" s="475" t="s">
        <v>1453</v>
      </c>
      <c r="F72" s="611" t="s">
        <v>2003</v>
      </c>
      <c r="G72" s="482" t="s">
        <v>1945</v>
      </c>
      <c r="H72" s="482">
        <v>1</v>
      </c>
      <c r="I72" s="580">
        <v>40983</v>
      </c>
      <c r="J72" s="580">
        <v>40983</v>
      </c>
      <c r="K72" s="581">
        <v>72136.75</v>
      </c>
      <c r="L72" s="581">
        <v>6165.53</v>
      </c>
      <c r="M72" s="582"/>
      <c r="N72" s="582"/>
      <c r="O72" s="582"/>
      <c r="P72" s="582">
        <f t="shared" si="27"/>
        <v>72136.75</v>
      </c>
      <c r="Q72" s="582">
        <f t="shared" si="28"/>
        <v>6165.53</v>
      </c>
      <c r="R72" s="583">
        <f t="shared" si="29"/>
        <v>70700</v>
      </c>
      <c r="S72" s="668">
        <f>AP72</f>
        <v>14</v>
      </c>
      <c r="T72" s="584">
        <v>5</v>
      </c>
      <c r="U72" s="585">
        <f>IF(S72="",R72,ROUND(R72*(S72-T72)/100,0))</f>
        <v>6363</v>
      </c>
      <c r="V72" s="586">
        <f t="shared" si="30"/>
        <v>3.2</v>
      </c>
      <c r="W72" s="477"/>
      <c r="X72" s="619">
        <f t="shared" si="26"/>
        <v>84400</v>
      </c>
      <c r="Y72" s="618"/>
      <c r="Z72" s="489">
        <v>82700</v>
      </c>
      <c r="AA72" s="361">
        <f t="shared" si="31"/>
        <v>70683.759999999995</v>
      </c>
      <c r="AB72" s="597"/>
      <c r="AC72" s="485">
        <f t="shared" si="32"/>
        <v>0</v>
      </c>
      <c r="AD72" s="597"/>
      <c r="AE72" s="485">
        <f t="shared" si="33"/>
        <v>0</v>
      </c>
      <c r="AF72" s="508">
        <f t="shared" si="34"/>
        <v>0</v>
      </c>
      <c r="AG72" s="508">
        <f t="shared" si="35"/>
        <v>0</v>
      </c>
      <c r="AH72" s="508">
        <f t="shared" si="36"/>
        <v>82700</v>
      </c>
      <c r="AI72" s="508">
        <f t="shared" si="37"/>
        <v>0</v>
      </c>
      <c r="AJ72" s="508">
        <f t="shared" si="38"/>
        <v>12016.24</v>
      </c>
      <c r="AK72" s="508">
        <f t="shared" si="39"/>
        <v>70700</v>
      </c>
      <c r="AL72" s="116">
        <v>10</v>
      </c>
      <c r="AM72" s="486">
        <f t="shared" si="40"/>
        <v>5.72</v>
      </c>
      <c r="AN72" s="117">
        <f t="shared" si="25"/>
        <v>4</v>
      </c>
      <c r="AO72" s="487">
        <f t="shared" si="41"/>
        <v>41</v>
      </c>
      <c r="AP72" s="509">
        <f>AO72*AP$4</f>
        <v>14</v>
      </c>
    </row>
    <row r="73" spans="1:42" ht="14.25" customHeight="1">
      <c r="A73" s="701">
        <v>67</v>
      </c>
      <c r="B73" s="477"/>
      <c r="C73" s="477" t="s">
        <v>1547</v>
      </c>
      <c r="D73" s="477"/>
      <c r="E73" s="475" t="s">
        <v>1453</v>
      </c>
      <c r="F73" s="611" t="s">
        <v>2003</v>
      </c>
      <c r="G73" s="482" t="s">
        <v>1945</v>
      </c>
      <c r="H73" s="482">
        <v>1</v>
      </c>
      <c r="I73" s="580">
        <v>40983</v>
      </c>
      <c r="J73" s="580">
        <v>40983</v>
      </c>
      <c r="K73" s="581">
        <v>65811.97</v>
      </c>
      <c r="L73" s="581">
        <v>5624.95</v>
      </c>
      <c r="M73" s="582"/>
      <c r="N73" s="582"/>
      <c r="O73" s="582"/>
      <c r="P73" s="582">
        <f t="shared" si="27"/>
        <v>65811.97</v>
      </c>
      <c r="Q73" s="582">
        <f t="shared" si="28"/>
        <v>5624.95</v>
      </c>
      <c r="R73" s="583">
        <f t="shared" si="29"/>
        <v>64500</v>
      </c>
      <c r="S73" s="668">
        <f>AP73</f>
        <v>18</v>
      </c>
      <c r="T73" s="584">
        <v>5</v>
      </c>
      <c r="U73" s="585">
        <f>IF(S73="",R73,ROUND(R73*(S73-T73)/100,0))</f>
        <v>8385</v>
      </c>
      <c r="V73" s="586">
        <f t="shared" si="30"/>
        <v>49.07</v>
      </c>
      <c r="W73" s="477"/>
      <c r="X73" s="619">
        <f t="shared" si="26"/>
        <v>77000</v>
      </c>
      <c r="Y73" s="618"/>
      <c r="Z73" s="489">
        <v>75500</v>
      </c>
      <c r="AA73" s="361">
        <f t="shared" si="31"/>
        <v>64529.91</v>
      </c>
      <c r="AB73" s="597"/>
      <c r="AC73" s="485">
        <f t="shared" si="32"/>
        <v>0</v>
      </c>
      <c r="AD73" s="597"/>
      <c r="AE73" s="485">
        <f t="shared" si="33"/>
        <v>0</v>
      </c>
      <c r="AF73" s="508">
        <f t="shared" si="34"/>
        <v>0</v>
      </c>
      <c r="AG73" s="508">
        <f t="shared" si="35"/>
        <v>0</v>
      </c>
      <c r="AH73" s="508">
        <f t="shared" si="36"/>
        <v>75500</v>
      </c>
      <c r="AI73" s="508">
        <f t="shared" si="37"/>
        <v>0</v>
      </c>
      <c r="AJ73" s="508">
        <f t="shared" si="38"/>
        <v>10970.09</v>
      </c>
      <c r="AK73" s="508">
        <f t="shared" si="39"/>
        <v>64500</v>
      </c>
      <c r="AL73" s="116">
        <v>12</v>
      </c>
      <c r="AM73" s="486">
        <f t="shared" si="40"/>
        <v>5.72</v>
      </c>
      <c r="AN73" s="117">
        <f t="shared" si="25"/>
        <v>6</v>
      </c>
      <c r="AO73" s="487">
        <f t="shared" si="41"/>
        <v>51</v>
      </c>
      <c r="AP73" s="509">
        <f>AO73*AP$4</f>
        <v>18</v>
      </c>
    </row>
    <row r="74" spans="1:42" ht="14.25" customHeight="1">
      <c r="A74" s="701">
        <v>68</v>
      </c>
      <c r="B74" s="477"/>
      <c r="C74" s="477" t="s">
        <v>1548</v>
      </c>
      <c r="D74" s="477" t="s">
        <v>1228</v>
      </c>
      <c r="E74" s="475" t="s">
        <v>1453</v>
      </c>
      <c r="F74" s="611" t="s">
        <v>2003</v>
      </c>
      <c r="G74" s="482" t="s">
        <v>1943</v>
      </c>
      <c r="H74" s="482">
        <v>2</v>
      </c>
      <c r="I74" s="580">
        <v>40983</v>
      </c>
      <c r="J74" s="580">
        <v>40983</v>
      </c>
      <c r="K74" s="581">
        <v>3367.52</v>
      </c>
      <c r="L74" s="581">
        <v>0</v>
      </c>
      <c r="M74" s="582"/>
      <c r="N74" s="582"/>
      <c r="O74" s="582"/>
      <c r="P74" s="582">
        <f t="shared" si="27"/>
        <v>3367.52</v>
      </c>
      <c r="Q74" s="582">
        <f t="shared" si="28"/>
        <v>0</v>
      </c>
      <c r="R74" s="583">
        <f t="shared" si="29"/>
        <v>3400</v>
      </c>
      <c r="S74" s="668">
        <f>AP74</f>
        <v>10</v>
      </c>
      <c r="T74" s="584">
        <v>4</v>
      </c>
      <c r="U74" s="585">
        <f>IF(S74="",R74,ROUND(R74*(S74-T74)/100,0))</f>
        <v>204</v>
      </c>
      <c r="V74" s="586" t="str">
        <f t="shared" si="30"/>
        <v/>
      </c>
      <c r="W74" s="477"/>
      <c r="X74" s="619">
        <f t="shared" si="26"/>
        <v>1970</v>
      </c>
      <c r="Y74" s="618"/>
      <c r="Z74" s="489">
        <v>2000</v>
      </c>
      <c r="AA74" s="361">
        <f t="shared" si="31"/>
        <v>1709.4</v>
      </c>
      <c r="AB74" s="597"/>
      <c r="AC74" s="485">
        <f t="shared" si="32"/>
        <v>0</v>
      </c>
      <c r="AD74" s="597"/>
      <c r="AE74" s="485">
        <f t="shared" si="33"/>
        <v>0</v>
      </c>
      <c r="AF74" s="508">
        <f t="shared" si="34"/>
        <v>0</v>
      </c>
      <c r="AG74" s="508">
        <f t="shared" si="35"/>
        <v>0</v>
      </c>
      <c r="AH74" s="508">
        <f t="shared" si="36"/>
        <v>2000</v>
      </c>
      <c r="AI74" s="508">
        <f t="shared" si="37"/>
        <v>0</v>
      </c>
      <c r="AJ74" s="508">
        <f t="shared" si="38"/>
        <v>290.60000000000002</v>
      </c>
      <c r="AK74" s="508">
        <f t="shared" si="39"/>
        <v>3400</v>
      </c>
      <c r="AL74" s="116">
        <v>8</v>
      </c>
      <c r="AM74" s="486">
        <f t="shared" si="40"/>
        <v>5.72</v>
      </c>
      <c r="AN74" s="117">
        <f t="shared" si="25"/>
        <v>2</v>
      </c>
      <c r="AO74" s="487">
        <f t="shared" si="41"/>
        <v>26</v>
      </c>
      <c r="AP74" s="667">
        <v>10</v>
      </c>
    </row>
    <row r="75" spans="1:42" ht="14.25" customHeight="1">
      <c r="A75" s="701">
        <v>69</v>
      </c>
      <c r="B75" s="477"/>
      <c r="C75" s="477" t="s">
        <v>1741</v>
      </c>
      <c r="D75" s="477"/>
      <c r="E75" s="475" t="s">
        <v>1453</v>
      </c>
      <c r="F75" s="611" t="s">
        <v>2003</v>
      </c>
      <c r="G75" s="482" t="s">
        <v>1943</v>
      </c>
      <c r="H75" s="482">
        <v>1</v>
      </c>
      <c r="I75" s="580">
        <v>40983</v>
      </c>
      <c r="J75" s="580">
        <v>40983</v>
      </c>
      <c r="K75" s="581">
        <v>4393.16</v>
      </c>
      <c r="L75" s="581">
        <v>0</v>
      </c>
      <c r="M75" s="582"/>
      <c r="N75" s="582"/>
      <c r="O75" s="582"/>
      <c r="P75" s="582">
        <f t="shared" si="27"/>
        <v>4393.16</v>
      </c>
      <c r="Q75" s="582">
        <f t="shared" si="28"/>
        <v>0</v>
      </c>
      <c r="R75" s="583">
        <f t="shared" si="29"/>
        <v>100</v>
      </c>
      <c r="S75" s="584"/>
      <c r="T75" s="584">
        <v>5</v>
      </c>
      <c r="U75" s="585">
        <f>ROUND(R75*(1-T75/100),0)</f>
        <v>95</v>
      </c>
      <c r="V75" s="586" t="str">
        <f t="shared" si="30"/>
        <v/>
      </c>
      <c r="W75" s="611" t="s">
        <v>2079</v>
      </c>
      <c r="X75" s="619">
        <f t="shared" si="26"/>
        <v>5140</v>
      </c>
      <c r="Y75" s="618"/>
      <c r="Z75" s="489">
        <v>100</v>
      </c>
      <c r="AA75" s="361">
        <f t="shared" si="31"/>
        <v>85.47</v>
      </c>
      <c r="AB75" s="597"/>
      <c r="AC75" s="485">
        <f t="shared" si="32"/>
        <v>0</v>
      </c>
      <c r="AD75" s="597"/>
      <c r="AE75" s="485">
        <f t="shared" si="33"/>
        <v>0</v>
      </c>
      <c r="AF75" s="508">
        <f t="shared" si="34"/>
        <v>0</v>
      </c>
      <c r="AG75" s="508">
        <f t="shared" si="35"/>
        <v>0</v>
      </c>
      <c r="AH75" s="508">
        <f t="shared" si="36"/>
        <v>100</v>
      </c>
      <c r="AI75" s="508">
        <f t="shared" si="37"/>
        <v>0</v>
      </c>
      <c r="AJ75" s="508">
        <f t="shared" si="38"/>
        <v>14.53</v>
      </c>
      <c r="AK75" s="508">
        <f t="shared" si="39"/>
        <v>100</v>
      </c>
      <c r="AL75" s="116">
        <v>8</v>
      </c>
      <c r="AM75" s="486">
        <f t="shared" si="40"/>
        <v>5.72</v>
      </c>
      <c r="AN75" s="117">
        <f t="shared" si="25"/>
        <v>2</v>
      </c>
      <c r="AO75" s="487">
        <f t="shared" si="41"/>
        <v>26</v>
      </c>
      <c r="AP75" s="509"/>
    </row>
    <row r="76" spans="1:42" ht="14.25" customHeight="1">
      <c r="A76" s="701">
        <v>70</v>
      </c>
      <c r="B76" s="477"/>
      <c r="C76" s="477" t="s">
        <v>1571</v>
      </c>
      <c r="D76" s="477" t="s">
        <v>1229</v>
      </c>
      <c r="E76" s="475" t="s">
        <v>1453</v>
      </c>
      <c r="F76" s="611" t="s">
        <v>2003</v>
      </c>
      <c r="G76" s="482" t="s">
        <v>1946</v>
      </c>
      <c r="H76" s="482">
        <v>1</v>
      </c>
      <c r="I76" s="580">
        <v>40983</v>
      </c>
      <c r="J76" s="580">
        <v>40983</v>
      </c>
      <c r="K76" s="581">
        <v>2205.13</v>
      </c>
      <c r="L76" s="581">
        <v>0</v>
      </c>
      <c r="M76" s="582"/>
      <c r="N76" s="582"/>
      <c r="O76" s="582"/>
      <c r="P76" s="582">
        <f t="shared" si="27"/>
        <v>2205.13</v>
      </c>
      <c r="Q76" s="582">
        <f t="shared" si="28"/>
        <v>0</v>
      </c>
      <c r="R76" s="583">
        <f t="shared" si="29"/>
        <v>0</v>
      </c>
      <c r="S76" s="584"/>
      <c r="T76" s="584"/>
      <c r="U76" s="585">
        <f>ROUND(R76*(1-T76/100),0)</f>
        <v>0</v>
      </c>
      <c r="V76" s="586" t="str">
        <f t="shared" si="30"/>
        <v/>
      </c>
      <c r="W76" s="611" t="s">
        <v>2079</v>
      </c>
      <c r="X76" s="619">
        <f t="shared" si="26"/>
        <v>2580</v>
      </c>
      <c r="Y76" s="618"/>
      <c r="Z76" s="617">
        <v>0</v>
      </c>
      <c r="AA76" s="361">
        <f t="shared" si="31"/>
        <v>0</v>
      </c>
      <c r="AB76" s="597"/>
      <c r="AC76" s="485">
        <f t="shared" si="32"/>
        <v>0</v>
      </c>
      <c r="AD76" s="597"/>
      <c r="AE76" s="485">
        <f t="shared" si="33"/>
        <v>0</v>
      </c>
      <c r="AF76" s="508">
        <f t="shared" si="34"/>
        <v>0</v>
      </c>
      <c r="AG76" s="508">
        <f t="shared" si="35"/>
        <v>0</v>
      </c>
      <c r="AH76" s="508">
        <f t="shared" si="36"/>
        <v>0</v>
      </c>
      <c r="AI76" s="508">
        <f t="shared" si="37"/>
        <v>0</v>
      </c>
      <c r="AJ76" s="508">
        <f t="shared" si="38"/>
        <v>0</v>
      </c>
      <c r="AK76" s="508">
        <f t="shared" si="39"/>
        <v>0</v>
      </c>
      <c r="AL76" s="116">
        <v>6</v>
      </c>
      <c r="AM76" s="486">
        <f t="shared" si="40"/>
        <v>5.72</v>
      </c>
      <c r="AN76" s="117">
        <f t="shared" si="25"/>
        <v>0</v>
      </c>
      <c r="AO76" s="487">
        <f t="shared" si="41"/>
        <v>0</v>
      </c>
      <c r="AP76" s="509"/>
    </row>
    <row r="77" spans="1:42" ht="14.25" customHeight="1">
      <c r="A77" s="701">
        <v>71</v>
      </c>
      <c r="B77" s="477"/>
      <c r="C77" s="477" t="s">
        <v>1581</v>
      </c>
      <c r="D77" s="477" t="s">
        <v>1229</v>
      </c>
      <c r="E77" s="475" t="s">
        <v>1453</v>
      </c>
      <c r="F77" s="611" t="s">
        <v>2003</v>
      </c>
      <c r="G77" s="482" t="s">
        <v>1943</v>
      </c>
      <c r="H77" s="482">
        <v>1</v>
      </c>
      <c r="I77" s="580">
        <v>40983</v>
      </c>
      <c r="J77" s="580">
        <v>40983</v>
      </c>
      <c r="K77" s="581">
        <v>7897.44</v>
      </c>
      <c r="L77" s="581">
        <v>674.99</v>
      </c>
      <c r="M77" s="582"/>
      <c r="N77" s="582"/>
      <c r="O77" s="582"/>
      <c r="P77" s="582">
        <f t="shared" si="27"/>
        <v>7897.44</v>
      </c>
      <c r="Q77" s="582">
        <f t="shared" si="28"/>
        <v>674.99</v>
      </c>
      <c r="R77" s="583">
        <f t="shared" si="29"/>
        <v>100</v>
      </c>
      <c r="S77" s="584"/>
      <c r="T77" s="584">
        <v>4</v>
      </c>
      <c r="U77" s="585">
        <f>ROUND(R77*(1-T77/100),0)</f>
        <v>96</v>
      </c>
      <c r="V77" s="586">
        <f t="shared" si="30"/>
        <v>-85.78</v>
      </c>
      <c r="W77" s="611" t="s">
        <v>2079</v>
      </c>
      <c r="X77" s="619">
        <f t="shared" si="26"/>
        <v>9240</v>
      </c>
      <c r="Y77" s="618"/>
      <c r="Z77" s="617">
        <v>100</v>
      </c>
      <c r="AA77" s="361">
        <f t="shared" si="31"/>
        <v>85.47</v>
      </c>
      <c r="AB77" s="597"/>
      <c r="AC77" s="485">
        <f t="shared" si="32"/>
        <v>0</v>
      </c>
      <c r="AD77" s="597"/>
      <c r="AE77" s="485">
        <f t="shared" si="33"/>
        <v>0</v>
      </c>
      <c r="AF77" s="508">
        <f t="shared" si="34"/>
        <v>0</v>
      </c>
      <c r="AG77" s="508">
        <f t="shared" si="35"/>
        <v>0</v>
      </c>
      <c r="AH77" s="508">
        <f t="shared" si="36"/>
        <v>100</v>
      </c>
      <c r="AI77" s="508">
        <f t="shared" si="37"/>
        <v>0</v>
      </c>
      <c r="AJ77" s="508">
        <f t="shared" si="38"/>
        <v>14.53</v>
      </c>
      <c r="AK77" s="508">
        <f t="shared" si="39"/>
        <v>100</v>
      </c>
      <c r="AL77" s="116">
        <v>8</v>
      </c>
      <c r="AM77" s="486">
        <f t="shared" si="40"/>
        <v>5.72</v>
      </c>
      <c r="AN77" s="117">
        <f t="shared" si="25"/>
        <v>2</v>
      </c>
      <c r="AO77" s="487">
        <f t="shared" si="41"/>
        <v>26</v>
      </c>
      <c r="AP77" s="509"/>
    </row>
    <row r="78" spans="1:42" ht="14.25" customHeight="1">
      <c r="A78" s="701">
        <v>72</v>
      </c>
      <c r="B78" s="477"/>
      <c r="C78" s="477" t="s">
        <v>1730</v>
      </c>
      <c r="D78" s="477" t="s">
        <v>1230</v>
      </c>
      <c r="E78" s="475" t="s">
        <v>1453</v>
      </c>
      <c r="F78" s="611" t="s">
        <v>2003</v>
      </c>
      <c r="G78" s="482" t="s">
        <v>1946</v>
      </c>
      <c r="H78" s="482">
        <v>1</v>
      </c>
      <c r="I78" s="580">
        <v>40983</v>
      </c>
      <c r="J78" s="580">
        <v>40983</v>
      </c>
      <c r="K78" s="581">
        <v>62222.22</v>
      </c>
      <c r="L78" s="581">
        <v>5318.14</v>
      </c>
      <c r="M78" s="582"/>
      <c r="N78" s="582"/>
      <c r="O78" s="582"/>
      <c r="P78" s="582">
        <f t="shared" si="27"/>
        <v>62222.22</v>
      </c>
      <c r="Q78" s="582">
        <f t="shared" si="28"/>
        <v>5318.14</v>
      </c>
      <c r="R78" s="583">
        <f t="shared" si="29"/>
        <v>0</v>
      </c>
      <c r="S78" s="584"/>
      <c r="T78" s="584"/>
      <c r="U78" s="585">
        <f>ROUND(R78*(1-T78/100),0)</f>
        <v>0</v>
      </c>
      <c r="V78" s="586">
        <f t="shared" si="30"/>
        <v>-100</v>
      </c>
      <c r="W78" s="611" t="s">
        <v>2074</v>
      </c>
      <c r="X78" s="619">
        <f t="shared" si="26"/>
        <v>72800</v>
      </c>
      <c r="Y78" s="618"/>
      <c r="Z78" s="617">
        <v>0</v>
      </c>
      <c r="AA78" s="361">
        <f t="shared" si="31"/>
        <v>0</v>
      </c>
      <c r="AB78" s="597"/>
      <c r="AC78" s="485">
        <f t="shared" si="32"/>
        <v>0</v>
      </c>
      <c r="AD78" s="597"/>
      <c r="AE78" s="485">
        <f t="shared" si="33"/>
        <v>0</v>
      </c>
      <c r="AF78" s="508">
        <f t="shared" si="34"/>
        <v>0</v>
      </c>
      <c r="AG78" s="508">
        <f t="shared" si="35"/>
        <v>0</v>
      </c>
      <c r="AH78" s="508">
        <f t="shared" si="36"/>
        <v>0</v>
      </c>
      <c r="AI78" s="508">
        <f t="shared" si="37"/>
        <v>0</v>
      </c>
      <c r="AJ78" s="508">
        <f t="shared" si="38"/>
        <v>0</v>
      </c>
      <c r="AK78" s="508">
        <f t="shared" si="39"/>
        <v>0</v>
      </c>
      <c r="AM78" s="486">
        <f t="shared" si="40"/>
        <v>5.72</v>
      </c>
      <c r="AN78" s="117">
        <f t="shared" si="25"/>
        <v>-6</v>
      </c>
      <c r="AO78" s="487">
        <f t="shared" si="41"/>
        <v>2143</v>
      </c>
      <c r="AP78" s="509"/>
    </row>
    <row r="79" spans="1:42" ht="14.25" customHeight="1">
      <c r="A79" s="701">
        <v>73</v>
      </c>
      <c r="B79" s="477"/>
      <c r="C79" s="477" t="s">
        <v>1729</v>
      </c>
      <c r="D79" s="477"/>
      <c r="E79" s="475" t="s">
        <v>1453</v>
      </c>
      <c r="F79" s="611" t="s">
        <v>2003</v>
      </c>
      <c r="G79" s="482" t="s">
        <v>1945</v>
      </c>
      <c r="H79" s="482">
        <v>1</v>
      </c>
      <c r="I79" s="580">
        <v>40983</v>
      </c>
      <c r="J79" s="580">
        <v>40983</v>
      </c>
      <c r="K79" s="581">
        <v>74529.91</v>
      </c>
      <c r="L79" s="581">
        <v>6370.08</v>
      </c>
      <c r="M79" s="582"/>
      <c r="N79" s="582"/>
      <c r="O79" s="582"/>
      <c r="P79" s="582">
        <f t="shared" si="27"/>
        <v>74529.91</v>
      </c>
      <c r="Q79" s="582">
        <f t="shared" si="28"/>
        <v>6370.08</v>
      </c>
      <c r="R79" s="583">
        <f t="shared" si="29"/>
        <v>0</v>
      </c>
      <c r="S79" s="584"/>
      <c r="T79" s="584"/>
      <c r="U79" s="585">
        <f>IF(S79="",R79,ROUND(R79*S79/100,0))</f>
        <v>0</v>
      </c>
      <c r="V79" s="586">
        <f t="shared" si="30"/>
        <v>-100</v>
      </c>
      <c r="W79" s="611" t="s">
        <v>2079</v>
      </c>
      <c r="X79" s="619">
        <f t="shared" si="26"/>
        <v>87199.99</v>
      </c>
      <c r="Y79" s="618"/>
      <c r="Z79" s="617">
        <v>0</v>
      </c>
      <c r="AA79" s="361">
        <f t="shared" si="31"/>
        <v>0</v>
      </c>
      <c r="AB79" s="597"/>
      <c r="AC79" s="485">
        <f t="shared" si="32"/>
        <v>0</v>
      </c>
      <c r="AD79" s="597"/>
      <c r="AE79" s="485">
        <f t="shared" si="33"/>
        <v>0</v>
      </c>
      <c r="AF79" s="508">
        <f t="shared" si="34"/>
        <v>0</v>
      </c>
      <c r="AG79" s="508">
        <f t="shared" si="35"/>
        <v>0</v>
      </c>
      <c r="AH79" s="508">
        <f t="shared" si="36"/>
        <v>0</v>
      </c>
      <c r="AI79" s="508">
        <f t="shared" si="37"/>
        <v>0</v>
      </c>
      <c r="AJ79" s="508">
        <f t="shared" si="38"/>
        <v>0</v>
      </c>
      <c r="AK79" s="508">
        <f t="shared" si="39"/>
        <v>0</v>
      </c>
      <c r="AM79" s="486">
        <f t="shared" si="40"/>
        <v>5.72</v>
      </c>
      <c r="AN79" s="117">
        <f t="shared" si="25"/>
        <v>-6</v>
      </c>
      <c r="AO79" s="487">
        <f t="shared" si="41"/>
        <v>2143</v>
      </c>
      <c r="AP79" s="509"/>
    </row>
    <row r="80" spans="1:42" ht="14.25" customHeight="1">
      <c r="A80" s="701">
        <v>74</v>
      </c>
      <c r="B80" s="477"/>
      <c r="C80" s="477" t="s">
        <v>1540</v>
      </c>
      <c r="D80" s="477"/>
      <c r="E80" s="475" t="s">
        <v>1453</v>
      </c>
      <c r="F80" s="611" t="s">
        <v>2003</v>
      </c>
      <c r="G80" s="579" t="s">
        <v>1954</v>
      </c>
      <c r="H80" s="482">
        <v>1</v>
      </c>
      <c r="I80" s="580">
        <v>40983</v>
      </c>
      <c r="J80" s="580">
        <v>40983</v>
      </c>
      <c r="K80" s="581">
        <v>96153.85</v>
      </c>
      <c r="L80" s="581">
        <v>1709.4</v>
      </c>
      <c r="M80" s="582"/>
      <c r="N80" s="582"/>
      <c r="O80" s="582"/>
      <c r="P80" s="582">
        <f t="shared" si="27"/>
        <v>96153.85</v>
      </c>
      <c r="Q80" s="582">
        <f t="shared" si="28"/>
        <v>1709.4</v>
      </c>
      <c r="R80" s="583">
        <f t="shared" si="29"/>
        <v>300</v>
      </c>
      <c r="S80" s="584"/>
      <c r="T80" s="584">
        <v>4</v>
      </c>
      <c r="U80" s="585">
        <f>ROUND(R80*(1-T80/100),0)</f>
        <v>288</v>
      </c>
      <c r="V80" s="586">
        <f t="shared" si="30"/>
        <v>-83.15</v>
      </c>
      <c r="W80" s="611" t="s">
        <v>2076</v>
      </c>
      <c r="X80" s="619">
        <f t="shared" si="26"/>
        <v>112500</v>
      </c>
      <c r="Y80" s="618"/>
      <c r="Z80" s="617">
        <v>400</v>
      </c>
      <c r="AA80" s="361">
        <f t="shared" si="31"/>
        <v>341.88</v>
      </c>
      <c r="AB80" s="597"/>
      <c r="AC80" s="485">
        <f t="shared" si="32"/>
        <v>0</v>
      </c>
      <c r="AD80" s="597"/>
      <c r="AE80" s="485">
        <f t="shared" si="33"/>
        <v>0</v>
      </c>
      <c r="AF80" s="508">
        <f t="shared" si="34"/>
        <v>0</v>
      </c>
      <c r="AG80" s="508">
        <f t="shared" si="35"/>
        <v>0</v>
      </c>
      <c r="AH80" s="508">
        <f t="shared" si="36"/>
        <v>400</v>
      </c>
      <c r="AI80" s="508">
        <f t="shared" si="37"/>
        <v>0</v>
      </c>
      <c r="AJ80" s="508">
        <f t="shared" si="38"/>
        <v>58.12</v>
      </c>
      <c r="AK80" s="508">
        <f t="shared" si="39"/>
        <v>300</v>
      </c>
      <c r="AL80" s="116">
        <v>12</v>
      </c>
      <c r="AM80" s="486">
        <f t="shared" si="40"/>
        <v>5.72</v>
      </c>
      <c r="AN80" s="117">
        <f t="shared" si="25"/>
        <v>6</v>
      </c>
      <c r="AO80" s="487">
        <f t="shared" si="41"/>
        <v>51</v>
      </c>
      <c r="AP80" s="509"/>
    </row>
    <row r="81" spans="1:47" ht="14.25" customHeight="1">
      <c r="A81" s="701">
        <v>75</v>
      </c>
      <c r="B81" s="477"/>
      <c r="C81" s="477" t="s">
        <v>1776</v>
      </c>
      <c r="D81" s="477"/>
      <c r="E81" s="475" t="s">
        <v>1453</v>
      </c>
      <c r="F81" s="611" t="s">
        <v>2003</v>
      </c>
      <c r="G81" s="482" t="s">
        <v>1943</v>
      </c>
      <c r="H81" s="482">
        <v>1</v>
      </c>
      <c r="I81" s="580">
        <v>40983</v>
      </c>
      <c r="J81" s="580">
        <v>40983</v>
      </c>
      <c r="K81" s="581">
        <v>111965.81</v>
      </c>
      <c r="L81" s="581">
        <v>341.88</v>
      </c>
      <c r="M81" s="582"/>
      <c r="N81" s="582"/>
      <c r="O81" s="582"/>
      <c r="P81" s="582">
        <f t="shared" si="27"/>
        <v>111965.81</v>
      </c>
      <c r="Q81" s="582">
        <f t="shared" si="28"/>
        <v>341.88</v>
      </c>
      <c r="R81" s="583">
        <f t="shared" si="29"/>
        <v>1700</v>
      </c>
      <c r="S81" s="584"/>
      <c r="T81" s="584">
        <v>4</v>
      </c>
      <c r="U81" s="585">
        <f>ROUND(R81*(1-T81/100),0)</f>
        <v>1632</v>
      </c>
      <c r="V81" s="586">
        <f t="shared" si="30"/>
        <v>377.36</v>
      </c>
      <c r="W81" s="611" t="s">
        <v>2074</v>
      </c>
      <c r="X81" s="619">
        <f t="shared" si="26"/>
        <v>131000</v>
      </c>
      <c r="Y81" s="618"/>
      <c r="Z81" s="617">
        <v>2000</v>
      </c>
      <c r="AA81" s="361">
        <f t="shared" si="31"/>
        <v>1709.4</v>
      </c>
      <c r="AB81" s="597"/>
      <c r="AC81" s="485">
        <f t="shared" si="32"/>
        <v>0</v>
      </c>
      <c r="AD81" s="597"/>
      <c r="AE81" s="485">
        <f t="shared" si="33"/>
        <v>0</v>
      </c>
      <c r="AF81" s="508">
        <f t="shared" si="34"/>
        <v>0</v>
      </c>
      <c r="AG81" s="508">
        <f t="shared" si="35"/>
        <v>0</v>
      </c>
      <c r="AH81" s="508">
        <f t="shared" si="36"/>
        <v>2000</v>
      </c>
      <c r="AI81" s="508">
        <f t="shared" si="37"/>
        <v>0</v>
      </c>
      <c r="AJ81" s="508">
        <f t="shared" si="38"/>
        <v>290.60000000000002</v>
      </c>
      <c r="AK81" s="508">
        <f t="shared" si="39"/>
        <v>1700</v>
      </c>
      <c r="AM81" s="486">
        <f t="shared" si="40"/>
        <v>5.72</v>
      </c>
      <c r="AN81" s="117">
        <f t="shared" si="25"/>
        <v>-6</v>
      </c>
      <c r="AO81" s="487">
        <f t="shared" si="41"/>
        <v>2143</v>
      </c>
      <c r="AP81" s="509"/>
    </row>
    <row r="82" spans="1:47" ht="14.25" customHeight="1">
      <c r="A82" s="701">
        <v>76</v>
      </c>
      <c r="B82" s="477"/>
      <c r="C82" s="477" t="s">
        <v>1589</v>
      </c>
      <c r="D82" s="477" t="s">
        <v>1231</v>
      </c>
      <c r="E82" s="475" t="s">
        <v>1453</v>
      </c>
      <c r="F82" s="611" t="s">
        <v>2003</v>
      </c>
      <c r="G82" s="482" t="s">
        <v>1943</v>
      </c>
      <c r="H82" s="482">
        <v>1</v>
      </c>
      <c r="I82" s="580">
        <v>40983</v>
      </c>
      <c r="J82" s="580">
        <v>40983</v>
      </c>
      <c r="K82" s="581">
        <v>38119.660000000003</v>
      </c>
      <c r="L82" s="581">
        <v>3258.09</v>
      </c>
      <c r="M82" s="582"/>
      <c r="N82" s="582"/>
      <c r="O82" s="582"/>
      <c r="P82" s="582">
        <f t="shared" si="27"/>
        <v>38119.660000000003</v>
      </c>
      <c r="Q82" s="582">
        <f t="shared" si="28"/>
        <v>3258.09</v>
      </c>
      <c r="R82" s="583">
        <f t="shared" si="29"/>
        <v>37400</v>
      </c>
      <c r="S82" s="668">
        <f>AP82</f>
        <v>20</v>
      </c>
      <c r="T82" s="584">
        <v>5</v>
      </c>
      <c r="U82" s="585">
        <f>IF(S82="",R82,ROUND(R82*(S82-T82)/100,0))</f>
        <v>5610</v>
      </c>
      <c r="V82" s="586">
        <f t="shared" si="30"/>
        <v>72.19</v>
      </c>
      <c r="W82" s="477"/>
      <c r="X82" s="619">
        <f t="shared" si="26"/>
        <v>44600</v>
      </c>
      <c r="Y82" s="618"/>
      <c r="Z82" s="489">
        <v>43700</v>
      </c>
      <c r="AA82" s="361">
        <f t="shared" si="31"/>
        <v>37350.43</v>
      </c>
      <c r="AB82" s="597"/>
      <c r="AC82" s="485">
        <f t="shared" si="32"/>
        <v>0</v>
      </c>
      <c r="AD82" s="597"/>
      <c r="AE82" s="485">
        <f t="shared" si="33"/>
        <v>0</v>
      </c>
      <c r="AF82" s="508">
        <f t="shared" si="34"/>
        <v>0</v>
      </c>
      <c r="AG82" s="508">
        <f t="shared" si="35"/>
        <v>0</v>
      </c>
      <c r="AH82" s="508">
        <f t="shared" si="36"/>
        <v>43700</v>
      </c>
      <c r="AI82" s="508">
        <f t="shared" si="37"/>
        <v>0</v>
      </c>
      <c r="AJ82" s="508">
        <f t="shared" si="38"/>
        <v>6349.57</v>
      </c>
      <c r="AK82" s="508">
        <f t="shared" si="39"/>
        <v>37400</v>
      </c>
      <c r="AL82" s="116">
        <v>14</v>
      </c>
      <c r="AM82" s="486">
        <f t="shared" si="40"/>
        <v>5.72</v>
      </c>
      <c r="AN82" s="117">
        <f t="shared" si="25"/>
        <v>8</v>
      </c>
      <c r="AO82" s="487">
        <f t="shared" si="41"/>
        <v>58</v>
      </c>
      <c r="AP82" s="509">
        <f>AO82*AP$4</f>
        <v>20</v>
      </c>
    </row>
    <row r="83" spans="1:47" ht="14.25" customHeight="1">
      <c r="A83" s="701">
        <v>77</v>
      </c>
      <c r="B83" s="477"/>
      <c r="C83" s="477" t="s">
        <v>1738</v>
      </c>
      <c r="D83" s="477" t="s">
        <v>1232</v>
      </c>
      <c r="E83" s="475" t="s">
        <v>1453</v>
      </c>
      <c r="F83" s="611" t="s">
        <v>2003</v>
      </c>
      <c r="G83" s="482" t="s">
        <v>1943</v>
      </c>
      <c r="H83" s="482">
        <v>1</v>
      </c>
      <c r="I83" s="580">
        <v>40983</v>
      </c>
      <c r="J83" s="580">
        <v>40983</v>
      </c>
      <c r="K83" s="581">
        <v>65811.97</v>
      </c>
      <c r="L83" s="581">
        <v>5624.95</v>
      </c>
      <c r="M83" s="582"/>
      <c r="N83" s="582"/>
      <c r="O83" s="582"/>
      <c r="P83" s="582">
        <f t="shared" si="27"/>
        <v>65811.97</v>
      </c>
      <c r="Q83" s="582">
        <f t="shared" si="28"/>
        <v>5624.95</v>
      </c>
      <c r="R83" s="583">
        <f t="shared" si="29"/>
        <v>200</v>
      </c>
      <c r="S83" s="584"/>
      <c r="T83" s="584">
        <v>3</v>
      </c>
      <c r="U83" s="585">
        <f>ROUND(R83*(1-T83/100),0)</f>
        <v>194</v>
      </c>
      <c r="V83" s="586">
        <f t="shared" si="30"/>
        <v>-96.55</v>
      </c>
      <c r="W83" s="611" t="s">
        <v>2074</v>
      </c>
      <c r="X83" s="619">
        <f t="shared" si="26"/>
        <v>77000</v>
      </c>
      <c r="Y83" s="618"/>
      <c r="Z83" s="617">
        <v>200</v>
      </c>
      <c r="AA83" s="361">
        <f t="shared" si="31"/>
        <v>170.94</v>
      </c>
      <c r="AB83" s="597"/>
      <c r="AC83" s="485">
        <f t="shared" si="32"/>
        <v>0</v>
      </c>
      <c r="AD83" s="597"/>
      <c r="AE83" s="485">
        <f t="shared" si="33"/>
        <v>0</v>
      </c>
      <c r="AF83" s="508">
        <f t="shared" si="34"/>
        <v>0</v>
      </c>
      <c r="AG83" s="508">
        <f t="shared" si="35"/>
        <v>0</v>
      </c>
      <c r="AH83" s="508">
        <f t="shared" si="36"/>
        <v>200</v>
      </c>
      <c r="AI83" s="508">
        <f t="shared" si="37"/>
        <v>0</v>
      </c>
      <c r="AJ83" s="508">
        <f t="shared" si="38"/>
        <v>29.06</v>
      </c>
      <c r="AK83" s="508">
        <f t="shared" si="39"/>
        <v>200</v>
      </c>
      <c r="AM83" s="486">
        <f t="shared" si="40"/>
        <v>5.72</v>
      </c>
      <c r="AN83" s="117">
        <f t="shared" si="25"/>
        <v>-6</v>
      </c>
      <c r="AO83" s="487">
        <f t="shared" si="41"/>
        <v>2143</v>
      </c>
      <c r="AP83" s="509"/>
    </row>
    <row r="84" spans="1:47" ht="14.25" customHeight="1">
      <c r="A84" s="701">
        <v>78</v>
      </c>
      <c r="B84" s="477"/>
      <c r="C84" s="477" t="s">
        <v>1750</v>
      </c>
      <c r="D84" s="477" t="s">
        <v>1232</v>
      </c>
      <c r="E84" s="475" t="s">
        <v>1453</v>
      </c>
      <c r="F84" s="611" t="s">
        <v>2003</v>
      </c>
      <c r="G84" s="579" t="s">
        <v>1963</v>
      </c>
      <c r="H84" s="482">
        <v>1</v>
      </c>
      <c r="I84" s="580">
        <v>40983</v>
      </c>
      <c r="J84" s="580">
        <v>40983</v>
      </c>
      <c r="K84" s="581">
        <v>48888.89</v>
      </c>
      <c r="L84" s="581">
        <v>4178.54</v>
      </c>
      <c r="M84" s="582"/>
      <c r="N84" s="582"/>
      <c r="O84" s="582"/>
      <c r="P84" s="582">
        <f t="shared" si="27"/>
        <v>48888.89</v>
      </c>
      <c r="Q84" s="582">
        <f t="shared" si="28"/>
        <v>4178.54</v>
      </c>
      <c r="R84" s="583">
        <f t="shared" si="29"/>
        <v>42700</v>
      </c>
      <c r="S84" s="668">
        <f>AP84</f>
        <v>14</v>
      </c>
      <c r="T84" s="584">
        <v>5</v>
      </c>
      <c r="U84" s="585">
        <f>IF(S84="",R84,ROUND(R84*(S84-T84)/100,0))</f>
        <v>3843</v>
      </c>
      <c r="V84" s="586">
        <f t="shared" si="30"/>
        <v>-8.0299999999999994</v>
      </c>
      <c r="W84" s="477"/>
      <c r="X84" s="619">
        <f t="shared" si="26"/>
        <v>57200</v>
      </c>
      <c r="Y84" s="618"/>
      <c r="Z84" s="489">
        <v>50000</v>
      </c>
      <c r="AA84" s="361">
        <f t="shared" si="31"/>
        <v>42735.040000000001</v>
      </c>
      <c r="AB84" s="597"/>
      <c r="AC84" s="485">
        <f t="shared" si="32"/>
        <v>0</v>
      </c>
      <c r="AD84" s="597"/>
      <c r="AE84" s="485">
        <f t="shared" si="33"/>
        <v>0</v>
      </c>
      <c r="AF84" s="508">
        <f t="shared" si="34"/>
        <v>0</v>
      </c>
      <c r="AG84" s="508">
        <f t="shared" si="35"/>
        <v>0</v>
      </c>
      <c r="AH84" s="508">
        <f t="shared" si="36"/>
        <v>50000</v>
      </c>
      <c r="AI84" s="508">
        <f t="shared" si="37"/>
        <v>0</v>
      </c>
      <c r="AJ84" s="508">
        <f t="shared" si="38"/>
        <v>7264.96</v>
      </c>
      <c r="AK84" s="508">
        <f t="shared" si="39"/>
        <v>42700</v>
      </c>
      <c r="AL84" s="116">
        <v>10</v>
      </c>
      <c r="AM84" s="486">
        <f t="shared" si="40"/>
        <v>5.72</v>
      </c>
      <c r="AN84" s="117">
        <f t="shared" si="25"/>
        <v>4</v>
      </c>
      <c r="AO84" s="487">
        <f t="shared" si="41"/>
        <v>41</v>
      </c>
      <c r="AP84" s="509">
        <f>AO84*AP$4</f>
        <v>14</v>
      </c>
    </row>
    <row r="85" spans="1:47" ht="14.25" customHeight="1">
      <c r="A85" s="701">
        <v>79</v>
      </c>
      <c r="B85" s="477"/>
      <c r="C85" s="477" t="s">
        <v>1749</v>
      </c>
      <c r="D85" s="477"/>
      <c r="E85" s="475" t="s">
        <v>1453</v>
      </c>
      <c r="F85" s="611" t="s">
        <v>2003</v>
      </c>
      <c r="G85" s="482" t="s">
        <v>1943</v>
      </c>
      <c r="H85" s="482">
        <v>1</v>
      </c>
      <c r="I85" s="580">
        <v>40983</v>
      </c>
      <c r="J85" s="580">
        <v>40983</v>
      </c>
      <c r="K85" s="581">
        <v>2564.1</v>
      </c>
      <c r="L85" s="581">
        <v>0</v>
      </c>
      <c r="M85" s="582"/>
      <c r="N85" s="582"/>
      <c r="O85" s="582"/>
      <c r="P85" s="582">
        <f t="shared" si="27"/>
        <v>2564.1</v>
      </c>
      <c r="Q85" s="582">
        <f t="shared" si="28"/>
        <v>0</v>
      </c>
      <c r="R85" s="583">
        <f t="shared" si="29"/>
        <v>100</v>
      </c>
      <c r="S85" s="584"/>
      <c r="T85" s="584">
        <v>5</v>
      </c>
      <c r="U85" s="585">
        <f>ROUND(R85*(1-T85/100),0)</f>
        <v>95</v>
      </c>
      <c r="V85" s="586" t="str">
        <f t="shared" si="30"/>
        <v/>
      </c>
      <c r="W85" s="611" t="s">
        <v>2079</v>
      </c>
      <c r="X85" s="619">
        <f t="shared" si="26"/>
        <v>3000</v>
      </c>
      <c r="Y85" s="618"/>
      <c r="Z85" s="489">
        <v>100</v>
      </c>
      <c r="AA85" s="361">
        <f t="shared" si="31"/>
        <v>85.47</v>
      </c>
      <c r="AB85" s="597"/>
      <c r="AC85" s="485">
        <f t="shared" si="32"/>
        <v>0</v>
      </c>
      <c r="AD85" s="597"/>
      <c r="AE85" s="485">
        <f t="shared" si="33"/>
        <v>0</v>
      </c>
      <c r="AF85" s="508">
        <f t="shared" si="34"/>
        <v>0</v>
      </c>
      <c r="AG85" s="508">
        <f t="shared" si="35"/>
        <v>0</v>
      </c>
      <c r="AH85" s="508">
        <f t="shared" si="36"/>
        <v>100</v>
      </c>
      <c r="AI85" s="508">
        <f t="shared" si="37"/>
        <v>0</v>
      </c>
      <c r="AJ85" s="508">
        <f t="shared" si="38"/>
        <v>14.53</v>
      </c>
      <c r="AK85" s="508">
        <f t="shared" si="39"/>
        <v>100</v>
      </c>
      <c r="AL85" s="116">
        <v>8</v>
      </c>
      <c r="AM85" s="486">
        <f t="shared" si="40"/>
        <v>5.72</v>
      </c>
      <c r="AN85" s="117">
        <f t="shared" si="25"/>
        <v>2</v>
      </c>
      <c r="AO85" s="487">
        <f t="shared" si="41"/>
        <v>26</v>
      </c>
      <c r="AP85" s="509"/>
    </row>
    <row r="86" spans="1:47" ht="14.25" customHeight="1">
      <c r="A86" s="701">
        <v>80</v>
      </c>
      <c r="B86" s="477"/>
      <c r="C86" s="477" t="s">
        <v>1707</v>
      </c>
      <c r="D86" s="477" t="s">
        <v>1233</v>
      </c>
      <c r="E86" s="475" t="s">
        <v>1453</v>
      </c>
      <c r="F86" s="611" t="s">
        <v>2003</v>
      </c>
      <c r="G86" s="482" t="s">
        <v>1943</v>
      </c>
      <c r="H86" s="482">
        <v>1</v>
      </c>
      <c r="I86" s="580">
        <v>40983</v>
      </c>
      <c r="J86" s="580">
        <v>40983</v>
      </c>
      <c r="K86" s="581">
        <v>12991.45</v>
      </c>
      <c r="L86" s="581">
        <v>1110.3800000000001</v>
      </c>
      <c r="M86" s="582"/>
      <c r="N86" s="582"/>
      <c r="O86" s="582"/>
      <c r="P86" s="582">
        <f t="shared" si="27"/>
        <v>12991.45</v>
      </c>
      <c r="Q86" s="582">
        <f t="shared" si="28"/>
        <v>1110.3800000000001</v>
      </c>
      <c r="R86" s="583">
        <f t="shared" si="29"/>
        <v>12700</v>
      </c>
      <c r="S86" s="668">
        <f>AP86</f>
        <v>14</v>
      </c>
      <c r="T86" s="584">
        <v>4</v>
      </c>
      <c r="U86" s="585">
        <f>IF(S86="",R86,ROUND(R86*(S86-T86)/100,0))</f>
        <v>1270</v>
      </c>
      <c r="V86" s="586">
        <f t="shared" si="30"/>
        <v>14.38</v>
      </c>
      <c r="W86" s="477"/>
      <c r="X86" s="619">
        <f t="shared" si="26"/>
        <v>15200</v>
      </c>
      <c r="Y86" s="618"/>
      <c r="Z86" s="489">
        <v>14900</v>
      </c>
      <c r="AA86" s="361">
        <f t="shared" si="31"/>
        <v>12735.04</v>
      </c>
      <c r="AB86" s="597"/>
      <c r="AC86" s="485">
        <f t="shared" si="32"/>
        <v>0</v>
      </c>
      <c r="AD86" s="597"/>
      <c r="AE86" s="485">
        <f t="shared" si="33"/>
        <v>0</v>
      </c>
      <c r="AF86" s="508">
        <f t="shared" si="34"/>
        <v>0</v>
      </c>
      <c r="AG86" s="508">
        <f t="shared" si="35"/>
        <v>0</v>
      </c>
      <c r="AH86" s="508">
        <f t="shared" si="36"/>
        <v>14900</v>
      </c>
      <c r="AI86" s="508">
        <f t="shared" si="37"/>
        <v>0</v>
      </c>
      <c r="AJ86" s="508">
        <f t="shared" si="38"/>
        <v>2164.96</v>
      </c>
      <c r="AK86" s="508">
        <f t="shared" si="39"/>
        <v>12700</v>
      </c>
      <c r="AL86" s="116">
        <v>10</v>
      </c>
      <c r="AM86" s="486">
        <f t="shared" si="40"/>
        <v>5.72</v>
      </c>
      <c r="AN86" s="117">
        <f t="shared" si="25"/>
        <v>4</v>
      </c>
      <c r="AO86" s="487">
        <f t="shared" si="41"/>
        <v>41</v>
      </c>
      <c r="AP86" s="509">
        <f>AO86*AP$4</f>
        <v>14</v>
      </c>
    </row>
    <row r="87" spans="1:47" ht="14.25" customHeight="1">
      <c r="A87" s="701">
        <v>81</v>
      </c>
      <c r="B87" s="477"/>
      <c r="C87" s="477" t="s">
        <v>1469</v>
      </c>
      <c r="D87" s="477" t="s">
        <v>1234</v>
      </c>
      <c r="E87" s="475" t="s">
        <v>1453</v>
      </c>
      <c r="F87" s="611" t="s">
        <v>2003</v>
      </c>
      <c r="G87" s="482" t="s">
        <v>1943</v>
      </c>
      <c r="H87" s="482">
        <v>1</v>
      </c>
      <c r="I87" s="580">
        <v>40983</v>
      </c>
      <c r="J87" s="580">
        <v>40983</v>
      </c>
      <c r="K87" s="581">
        <v>2205.13</v>
      </c>
      <c r="L87" s="581">
        <v>0</v>
      </c>
      <c r="M87" s="582"/>
      <c r="N87" s="582"/>
      <c r="O87" s="582"/>
      <c r="P87" s="582">
        <f t="shared" si="27"/>
        <v>2205.13</v>
      </c>
      <c r="Q87" s="582">
        <f t="shared" si="28"/>
        <v>0</v>
      </c>
      <c r="R87" s="583">
        <f t="shared" si="29"/>
        <v>100</v>
      </c>
      <c r="S87" s="584"/>
      <c r="T87" s="584"/>
      <c r="U87" s="585">
        <f>ROUND(R87*(1-T87/100),0)</f>
        <v>100</v>
      </c>
      <c r="V87" s="586" t="str">
        <f t="shared" si="30"/>
        <v/>
      </c>
      <c r="W87" s="611" t="s">
        <v>2074</v>
      </c>
      <c r="X87" s="619">
        <f t="shared" si="26"/>
        <v>2580</v>
      </c>
      <c r="Y87" s="618"/>
      <c r="Z87" s="617">
        <v>100</v>
      </c>
      <c r="AA87" s="361">
        <f t="shared" si="31"/>
        <v>85.47</v>
      </c>
      <c r="AB87" s="597"/>
      <c r="AC87" s="485">
        <f t="shared" si="32"/>
        <v>0</v>
      </c>
      <c r="AD87" s="597"/>
      <c r="AE87" s="485">
        <f t="shared" si="33"/>
        <v>0</v>
      </c>
      <c r="AF87" s="508">
        <f t="shared" si="34"/>
        <v>0</v>
      </c>
      <c r="AG87" s="508">
        <f t="shared" si="35"/>
        <v>0</v>
      </c>
      <c r="AH87" s="508">
        <f t="shared" si="36"/>
        <v>100</v>
      </c>
      <c r="AI87" s="508">
        <f t="shared" si="37"/>
        <v>0</v>
      </c>
      <c r="AJ87" s="508">
        <f t="shared" si="38"/>
        <v>14.53</v>
      </c>
      <c r="AK87" s="508">
        <f t="shared" si="39"/>
        <v>100</v>
      </c>
      <c r="AL87" s="116">
        <v>8</v>
      </c>
      <c r="AM87" s="486">
        <f t="shared" si="40"/>
        <v>5.72</v>
      </c>
      <c r="AN87" s="117">
        <f t="shared" si="25"/>
        <v>2</v>
      </c>
      <c r="AO87" s="487">
        <f t="shared" si="41"/>
        <v>26</v>
      </c>
      <c r="AP87" s="509"/>
    </row>
    <row r="88" spans="1:47" ht="14.25" customHeight="1">
      <c r="A88" s="701">
        <v>82</v>
      </c>
      <c r="B88" s="477"/>
      <c r="C88" s="477" t="s">
        <v>1592</v>
      </c>
      <c r="D88" s="477" t="s">
        <v>1235</v>
      </c>
      <c r="E88" s="475" t="s">
        <v>1453</v>
      </c>
      <c r="F88" s="611" t="s">
        <v>2003</v>
      </c>
      <c r="G88" s="482" t="s">
        <v>1943</v>
      </c>
      <c r="H88" s="482">
        <v>2</v>
      </c>
      <c r="I88" s="580">
        <v>40983</v>
      </c>
      <c r="J88" s="580">
        <v>40983</v>
      </c>
      <c r="K88" s="581">
        <v>51282.06</v>
      </c>
      <c r="L88" s="581">
        <v>4383.08</v>
      </c>
      <c r="M88" s="582"/>
      <c r="N88" s="582"/>
      <c r="O88" s="582"/>
      <c r="P88" s="582">
        <f t="shared" si="27"/>
        <v>51282.06</v>
      </c>
      <c r="Q88" s="582">
        <f t="shared" si="28"/>
        <v>4383.08</v>
      </c>
      <c r="R88" s="583">
        <f t="shared" si="29"/>
        <v>50300</v>
      </c>
      <c r="S88" s="668">
        <f>AP88</f>
        <v>14</v>
      </c>
      <c r="T88" s="584">
        <v>3</v>
      </c>
      <c r="U88" s="585">
        <f>IF(S88="",R88,ROUND(R88*(S88-T88)/100,0))</f>
        <v>5533</v>
      </c>
      <c r="V88" s="586">
        <f t="shared" si="30"/>
        <v>26.24</v>
      </c>
      <c r="W88" s="477"/>
      <c r="X88" s="619">
        <f t="shared" si="26"/>
        <v>30000.01</v>
      </c>
      <c r="Y88" s="618"/>
      <c r="Z88" s="489">
        <v>29400</v>
      </c>
      <c r="AA88" s="361">
        <f t="shared" si="31"/>
        <v>25128.21</v>
      </c>
      <c r="AB88" s="597"/>
      <c r="AC88" s="485">
        <f t="shared" si="32"/>
        <v>0</v>
      </c>
      <c r="AD88" s="597"/>
      <c r="AE88" s="485">
        <f t="shared" si="33"/>
        <v>0</v>
      </c>
      <c r="AF88" s="508">
        <f t="shared" si="34"/>
        <v>0</v>
      </c>
      <c r="AG88" s="508">
        <f t="shared" si="35"/>
        <v>0</v>
      </c>
      <c r="AH88" s="508">
        <f t="shared" si="36"/>
        <v>29400</v>
      </c>
      <c r="AI88" s="508">
        <f t="shared" si="37"/>
        <v>0</v>
      </c>
      <c r="AJ88" s="508">
        <f t="shared" si="38"/>
        <v>4271.79</v>
      </c>
      <c r="AK88" s="508">
        <f t="shared" si="39"/>
        <v>50300</v>
      </c>
      <c r="AL88" s="116">
        <v>10</v>
      </c>
      <c r="AM88" s="486">
        <f t="shared" si="40"/>
        <v>5.72</v>
      </c>
      <c r="AN88" s="117">
        <f t="shared" ref="AN88:AN119" si="42">ROUND((AL88-AM88),0)</f>
        <v>4</v>
      </c>
      <c r="AO88" s="487">
        <f t="shared" si="41"/>
        <v>41</v>
      </c>
      <c r="AP88" s="509">
        <f>AO88*AP$4</f>
        <v>14</v>
      </c>
    </row>
    <row r="89" spans="1:47" ht="14.25" customHeight="1">
      <c r="A89" s="701">
        <v>83</v>
      </c>
      <c r="B89" s="477"/>
      <c r="C89" s="477" t="s">
        <v>1764</v>
      </c>
      <c r="D89" s="477" t="s">
        <v>1236</v>
      </c>
      <c r="E89" s="475" t="s">
        <v>1453</v>
      </c>
      <c r="F89" s="611" t="s">
        <v>2004</v>
      </c>
      <c r="G89" s="482" t="s">
        <v>1943</v>
      </c>
      <c r="H89" s="482">
        <v>1</v>
      </c>
      <c r="I89" s="580">
        <v>41303</v>
      </c>
      <c r="J89" s="580">
        <v>41303</v>
      </c>
      <c r="K89" s="581">
        <v>212040.17</v>
      </c>
      <c r="L89" s="581">
        <v>142066.94</v>
      </c>
      <c r="M89" s="704" t="s">
        <v>2346</v>
      </c>
      <c r="N89" s="582"/>
      <c r="O89" s="582"/>
      <c r="P89" s="582">
        <f t="shared" si="27"/>
        <v>212040.17</v>
      </c>
      <c r="Q89" s="582">
        <f t="shared" si="28"/>
        <v>142066.94</v>
      </c>
      <c r="R89" s="583">
        <f t="shared" si="29"/>
        <v>167500</v>
      </c>
      <c r="S89" s="668">
        <f>AP89</f>
        <v>17</v>
      </c>
      <c r="T89" s="584">
        <v>3</v>
      </c>
      <c r="U89" s="585">
        <f>IF(S89="",R89,ROUND(R89*(S89-T89)/100,0))</f>
        <v>23450</v>
      </c>
      <c r="V89" s="586">
        <f t="shared" si="30"/>
        <v>-83.49</v>
      </c>
      <c r="W89" s="477"/>
      <c r="X89" s="619">
        <f t="shared" si="26"/>
        <v>248087</v>
      </c>
      <c r="Y89" s="618"/>
      <c r="Z89" s="624">
        <v>196000</v>
      </c>
      <c r="AA89" s="361">
        <f t="shared" si="31"/>
        <v>167521.37</v>
      </c>
      <c r="AB89" s="597"/>
      <c r="AC89" s="485">
        <f t="shared" si="32"/>
        <v>0</v>
      </c>
      <c r="AD89" s="597"/>
      <c r="AE89" s="485">
        <f t="shared" si="33"/>
        <v>0</v>
      </c>
      <c r="AF89" s="508">
        <f t="shared" si="34"/>
        <v>0</v>
      </c>
      <c r="AG89" s="508">
        <f t="shared" si="35"/>
        <v>0</v>
      </c>
      <c r="AH89" s="508">
        <f t="shared" si="36"/>
        <v>196000</v>
      </c>
      <c r="AI89" s="508">
        <f t="shared" si="37"/>
        <v>0</v>
      </c>
      <c r="AJ89" s="508">
        <f t="shared" si="38"/>
        <v>28478.63</v>
      </c>
      <c r="AK89" s="508">
        <f t="shared" si="39"/>
        <v>167500</v>
      </c>
      <c r="AL89" s="116">
        <v>12</v>
      </c>
      <c r="AM89" s="486">
        <f t="shared" si="40"/>
        <v>4.84</v>
      </c>
      <c r="AN89" s="117">
        <f t="shared" si="42"/>
        <v>7</v>
      </c>
      <c r="AO89" s="487">
        <f t="shared" si="41"/>
        <v>59</v>
      </c>
      <c r="AP89" s="509">
        <v>17</v>
      </c>
    </row>
    <row r="90" spans="1:47" ht="14.25" customHeight="1">
      <c r="A90" s="701">
        <v>84</v>
      </c>
      <c r="B90" s="477"/>
      <c r="C90" s="477" t="s">
        <v>1608</v>
      </c>
      <c r="D90" s="477"/>
      <c r="E90" s="475" t="s">
        <v>1453</v>
      </c>
      <c r="F90" s="477"/>
      <c r="G90" s="579" t="s">
        <v>1963</v>
      </c>
      <c r="H90" s="482">
        <v>1</v>
      </c>
      <c r="I90" s="580">
        <v>41346</v>
      </c>
      <c r="J90" s="580">
        <v>41346</v>
      </c>
      <c r="K90" s="581">
        <v>81021.37</v>
      </c>
      <c r="L90" s="581">
        <v>6924.9</v>
      </c>
      <c r="M90" s="582"/>
      <c r="N90" s="582"/>
      <c r="O90" s="582"/>
      <c r="P90" s="582">
        <f t="shared" si="27"/>
        <v>81021.37</v>
      </c>
      <c r="Q90" s="582">
        <f t="shared" si="28"/>
        <v>6924.9</v>
      </c>
      <c r="R90" s="583">
        <f t="shared" si="29"/>
        <v>100</v>
      </c>
      <c r="S90" s="584"/>
      <c r="T90" s="584">
        <v>4</v>
      </c>
      <c r="U90" s="585">
        <f t="shared" ref="U90:U95" si="43">ROUND(R90*(1-T90/100),0)</f>
        <v>96</v>
      </c>
      <c r="V90" s="586">
        <f t="shared" si="30"/>
        <v>-98.61</v>
      </c>
      <c r="W90" s="611" t="s">
        <v>2079</v>
      </c>
      <c r="X90" s="619">
        <f t="shared" si="26"/>
        <v>94795</v>
      </c>
      <c r="Y90" s="618"/>
      <c r="Z90" s="617">
        <v>100</v>
      </c>
      <c r="AA90" s="361">
        <f t="shared" si="31"/>
        <v>85.47</v>
      </c>
      <c r="AB90" s="597"/>
      <c r="AC90" s="485">
        <f t="shared" si="32"/>
        <v>0</v>
      </c>
      <c r="AD90" s="597"/>
      <c r="AE90" s="485">
        <f t="shared" si="33"/>
        <v>0</v>
      </c>
      <c r="AF90" s="508">
        <f t="shared" si="34"/>
        <v>0</v>
      </c>
      <c r="AG90" s="508">
        <f t="shared" si="35"/>
        <v>0</v>
      </c>
      <c r="AH90" s="508">
        <f t="shared" si="36"/>
        <v>100</v>
      </c>
      <c r="AI90" s="508">
        <f t="shared" si="37"/>
        <v>0</v>
      </c>
      <c r="AJ90" s="508">
        <f t="shared" si="38"/>
        <v>14.53</v>
      </c>
      <c r="AK90" s="508">
        <f t="shared" si="39"/>
        <v>100</v>
      </c>
      <c r="AM90" s="486">
        <f t="shared" si="40"/>
        <v>4.72</v>
      </c>
      <c r="AN90" s="117">
        <f t="shared" si="42"/>
        <v>-5</v>
      </c>
      <c r="AO90" s="487">
        <f t="shared" si="41"/>
        <v>1786</v>
      </c>
      <c r="AP90" s="509"/>
    </row>
    <row r="91" spans="1:47" ht="14.25" customHeight="1">
      <c r="A91" s="701">
        <v>85</v>
      </c>
      <c r="B91" s="477"/>
      <c r="C91" s="477" t="s">
        <v>1690</v>
      </c>
      <c r="D91" s="477"/>
      <c r="E91" s="475" t="s">
        <v>1453</v>
      </c>
      <c r="F91" s="611" t="s">
        <v>2005</v>
      </c>
      <c r="G91" s="579" t="s">
        <v>1965</v>
      </c>
      <c r="H91" s="482">
        <v>1</v>
      </c>
      <c r="I91" s="580">
        <v>41346</v>
      </c>
      <c r="J91" s="580">
        <v>41346</v>
      </c>
      <c r="K91" s="581">
        <v>37688.03</v>
      </c>
      <c r="L91" s="581">
        <v>3221.2</v>
      </c>
      <c r="M91" s="582"/>
      <c r="N91" s="582"/>
      <c r="O91" s="582"/>
      <c r="P91" s="582">
        <f t="shared" si="27"/>
        <v>37688.03</v>
      </c>
      <c r="Q91" s="582">
        <f t="shared" si="28"/>
        <v>3221.2</v>
      </c>
      <c r="R91" s="583">
        <f t="shared" si="29"/>
        <v>200</v>
      </c>
      <c r="S91" s="584"/>
      <c r="T91" s="584">
        <v>3</v>
      </c>
      <c r="U91" s="585">
        <f t="shared" si="43"/>
        <v>194</v>
      </c>
      <c r="V91" s="586">
        <f t="shared" si="30"/>
        <v>-93.98</v>
      </c>
      <c r="W91" s="611" t="s">
        <v>2074</v>
      </c>
      <c r="X91" s="619">
        <f t="shared" si="26"/>
        <v>44095</v>
      </c>
      <c r="Y91" s="618"/>
      <c r="Z91" s="617">
        <v>200</v>
      </c>
      <c r="AA91" s="361">
        <f t="shared" si="31"/>
        <v>170.94</v>
      </c>
      <c r="AB91" s="597"/>
      <c r="AC91" s="485">
        <f t="shared" si="32"/>
        <v>0</v>
      </c>
      <c r="AD91" s="597"/>
      <c r="AE91" s="485">
        <f t="shared" si="33"/>
        <v>0</v>
      </c>
      <c r="AF91" s="508">
        <f t="shared" si="34"/>
        <v>0</v>
      </c>
      <c r="AG91" s="508">
        <f t="shared" si="35"/>
        <v>0</v>
      </c>
      <c r="AH91" s="508">
        <f t="shared" si="36"/>
        <v>200</v>
      </c>
      <c r="AI91" s="508">
        <f t="shared" si="37"/>
        <v>0</v>
      </c>
      <c r="AJ91" s="508">
        <f t="shared" si="38"/>
        <v>29.06</v>
      </c>
      <c r="AK91" s="508">
        <f t="shared" si="39"/>
        <v>200</v>
      </c>
      <c r="AM91" s="486">
        <f t="shared" si="40"/>
        <v>4.72</v>
      </c>
      <c r="AN91" s="117">
        <f t="shared" si="42"/>
        <v>-5</v>
      </c>
      <c r="AO91" s="487">
        <f t="shared" si="41"/>
        <v>1786</v>
      </c>
      <c r="AP91" s="509"/>
    </row>
    <row r="92" spans="1:47" ht="14.25" customHeight="1">
      <c r="A92" s="701">
        <v>86</v>
      </c>
      <c r="B92" s="477"/>
      <c r="C92" s="477" t="s">
        <v>1624</v>
      </c>
      <c r="D92" s="477"/>
      <c r="E92" s="475" t="s">
        <v>1453</v>
      </c>
      <c r="F92" s="611" t="s">
        <v>2005</v>
      </c>
      <c r="G92" s="482" t="s">
        <v>1943</v>
      </c>
      <c r="H92" s="482">
        <v>1</v>
      </c>
      <c r="I92" s="580">
        <v>41346</v>
      </c>
      <c r="J92" s="580">
        <v>41346</v>
      </c>
      <c r="K92" s="581">
        <v>18384.62</v>
      </c>
      <c r="L92" s="581">
        <v>1571.34</v>
      </c>
      <c r="M92" s="582"/>
      <c r="N92" s="582"/>
      <c r="O92" s="582"/>
      <c r="P92" s="582">
        <f t="shared" si="27"/>
        <v>18384.62</v>
      </c>
      <c r="Q92" s="582">
        <f t="shared" si="28"/>
        <v>1571.34</v>
      </c>
      <c r="R92" s="583">
        <f t="shared" si="29"/>
        <v>100</v>
      </c>
      <c r="S92" s="584"/>
      <c r="T92" s="584">
        <v>4</v>
      </c>
      <c r="U92" s="585">
        <f t="shared" si="43"/>
        <v>96</v>
      </c>
      <c r="V92" s="586">
        <f t="shared" si="30"/>
        <v>-93.89</v>
      </c>
      <c r="W92" s="611" t="s">
        <v>2079</v>
      </c>
      <c r="X92" s="619">
        <f t="shared" si="26"/>
        <v>21510.01</v>
      </c>
      <c r="Y92" s="618"/>
      <c r="Z92" s="617">
        <v>100</v>
      </c>
      <c r="AA92" s="361">
        <f t="shared" si="31"/>
        <v>85.47</v>
      </c>
      <c r="AB92" s="597"/>
      <c r="AC92" s="485">
        <f t="shared" si="32"/>
        <v>0</v>
      </c>
      <c r="AD92" s="597"/>
      <c r="AE92" s="485">
        <f t="shared" si="33"/>
        <v>0</v>
      </c>
      <c r="AF92" s="508">
        <f t="shared" si="34"/>
        <v>0</v>
      </c>
      <c r="AG92" s="508">
        <f t="shared" si="35"/>
        <v>0</v>
      </c>
      <c r="AH92" s="508">
        <f t="shared" si="36"/>
        <v>100</v>
      </c>
      <c r="AI92" s="508">
        <f t="shared" si="37"/>
        <v>0</v>
      </c>
      <c r="AJ92" s="508">
        <f t="shared" si="38"/>
        <v>14.53</v>
      </c>
      <c r="AK92" s="508">
        <f t="shared" si="39"/>
        <v>100</v>
      </c>
      <c r="AM92" s="486">
        <f t="shared" si="40"/>
        <v>4.72</v>
      </c>
      <c r="AN92" s="117">
        <f t="shared" si="42"/>
        <v>-5</v>
      </c>
      <c r="AO92" s="487">
        <f t="shared" si="41"/>
        <v>1786</v>
      </c>
      <c r="AP92" s="509"/>
    </row>
    <row r="93" spans="1:47" s="694" customFormat="1" ht="14.25" customHeight="1">
      <c r="A93" s="701">
        <v>87</v>
      </c>
      <c r="B93" s="477"/>
      <c r="C93" s="477" t="s">
        <v>1691</v>
      </c>
      <c r="D93" s="477"/>
      <c r="E93" s="475" t="s">
        <v>1453</v>
      </c>
      <c r="F93" s="611" t="s">
        <v>2005</v>
      </c>
      <c r="G93" s="579" t="s">
        <v>1965</v>
      </c>
      <c r="H93" s="482">
        <v>1</v>
      </c>
      <c r="I93" s="580">
        <v>41346</v>
      </c>
      <c r="J93" s="580">
        <v>41346</v>
      </c>
      <c r="K93" s="581">
        <v>6128.21</v>
      </c>
      <c r="L93" s="581">
        <v>523.78</v>
      </c>
      <c r="M93" s="582"/>
      <c r="N93" s="582"/>
      <c r="O93" s="582"/>
      <c r="P93" s="582">
        <f t="shared" si="27"/>
        <v>6128.21</v>
      </c>
      <c r="Q93" s="582">
        <f t="shared" si="28"/>
        <v>523.78</v>
      </c>
      <c r="R93" s="583">
        <f t="shared" si="29"/>
        <v>0</v>
      </c>
      <c r="S93" s="584"/>
      <c r="T93" s="584"/>
      <c r="U93" s="585">
        <f t="shared" si="43"/>
        <v>0</v>
      </c>
      <c r="V93" s="586">
        <f t="shared" si="30"/>
        <v>-100</v>
      </c>
      <c r="W93" s="611" t="s">
        <v>2076</v>
      </c>
      <c r="X93" s="619">
        <f t="shared" si="26"/>
        <v>7170.01</v>
      </c>
      <c r="Y93" s="618"/>
      <c r="Z93" s="617">
        <v>0</v>
      </c>
      <c r="AA93" s="361">
        <f t="shared" si="31"/>
        <v>0</v>
      </c>
      <c r="AB93" s="597"/>
      <c r="AC93" s="485">
        <f t="shared" si="32"/>
        <v>0</v>
      </c>
      <c r="AD93" s="597"/>
      <c r="AE93" s="485">
        <f t="shared" si="33"/>
        <v>0</v>
      </c>
      <c r="AF93" s="508">
        <f t="shared" si="34"/>
        <v>0</v>
      </c>
      <c r="AG93" s="508">
        <f t="shared" si="35"/>
        <v>0</v>
      </c>
      <c r="AH93" s="508">
        <f t="shared" si="36"/>
        <v>0</v>
      </c>
      <c r="AI93" s="508">
        <f t="shared" si="37"/>
        <v>0</v>
      </c>
      <c r="AJ93" s="508">
        <f t="shared" si="38"/>
        <v>0</v>
      </c>
      <c r="AK93" s="508">
        <f t="shared" si="39"/>
        <v>0</v>
      </c>
      <c r="AL93" s="116"/>
      <c r="AM93" s="486">
        <f t="shared" si="40"/>
        <v>4.72</v>
      </c>
      <c r="AN93" s="117">
        <f t="shared" si="42"/>
        <v>-5</v>
      </c>
      <c r="AO93" s="487">
        <f t="shared" si="41"/>
        <v>1786</v>
      </c>
      <c r="AP93" s="509"/>
      <c r="AQ93" s="4"/>
      <c r="AR93" s="4"/>
      <c r="AS93" s="4"/>
      <c r="AT93" s="4"/>
      <c r="AU93" s="4"/>
    </row>
    <row r="94" spans="1:47" s="694" customFormat="1" ht="14.25" customHeight="1">
      <c r="A94" s="701">
        <v>88</v>
      </c>
      <c r="B94" s="477"/>
      <c r="C94" s="477" t="s">
        <v>1762</v>
      </c>
      <c r="D94" s="477"/>
      <c r="E94" s="475" t="s">
        <v>1453</v>
      </c>
      <c r="F94" s="611" t="s">
        <v>2005</v>
      </c>
      <c r="G94" s="482" t="s">
        <v>1943</v>
      </c>
      <c r="H94" s="482">
        <v>1</v>
      </c>
      <c r="I94" s="580">
        <v>41346</v>
      </c>
      <c r="J94" s="580">
        <v>41346</v>
      </c>
      <c r="K94" s="581">
        <v>8837.6</v>
      </c>
      <c r="L94" s="581">
        <v>755.35</v>
      </c>
      <c r="M94" s="582"/>
      <c r="N94" s="582"/>
      <c r="O94" s="582"/>
      <c r="P94" s="582">
        <f t="shared" si="27"/>
        <v>8837.6</v>
      </c>
      <c r="Q94" s="582">
        <f t="shared" si="28"/>
        <v>755.35</v>
      </c>
      <c r="R94" s="583">
        <f t="shared" si="29"/>
        <v>100</v>
      </c>
      <c r="S94" s="584"/>
      <c r="T94" s="584">
        <v>3</v>
      </c>
      <c r="U94" s="585">
        <f t="shared" si="43"/>
        <v>97</v>
      </c>
      <c r="V94" s="586">
        <f t="shared" si="30"/>
        <v>-87.16</v>
      </c>
      <c r="W94" s="611" t="s">
        <v>2074</v>
      </c>
      <c r="X94" s="619">
        <f t="shared" si="26"/>
        <v>10339.99</v>
      </c>
      <c r="Y94" s="618"/>
      <c r="Z94" s="617">
        <v>100</v>
      </c>
      <c r="AA94" s="361">
        <f t="shared" si="31"/>
        <v>85.47</v>
      </c>
      <c r="AB94" s="597"/>
      <c r="AC94" s="485">
        <f t="shared" si="32"/>
        <v>0</v>
      </c>
      <c r="AD94" s="597"/>
      <c r="AE94" s="485">
        <f t="shared" si="33"/>
        <v>0</v>
      </c>
      <c r="AF94" s="508">
        <f t="shared" si="34"/>
        <v>0</v>
      </c>
      <c r="AG94" s="508">
        <f t="shared" si="35"/>
        <v>0</v>
      </c>
      <c r="AH94" s="508">
        <f t="shared" si="36"/>
        <v>100</v>
      </c>
      <c r="AI94" s="508">
        <f t="shared" si="37"/>
        <v>0</v>
      </c>
      <c r="AJ94" s="508">
        <f t="shared" si="38"/>
        <v>14.53</v>
      </c>
      <c r="AK94" s="508">
        <f t="shared" si="39"/>
        <v>100</v>
      </c>
      <c r="AL94" s="116"/>
      <c r="AM94" s="486">
        <f t="shared" si="40"/>
        <v>4.72</v>
      </c>
      <c r="AN94" s="117">
        <f t="shared" si="42"/>
        <v>-5</v>
      </c>
      <c r="AO94" s="487">
        <f t="shared" si="41"/>
        <v>1786</v>
      </c>
      <c r="AP94" s="509"/>
      <c r="AQ94" s="4"/>
      <c r="AR94" s="4"/>
      <c r="AS94" s="4"/>
      <c r="AT94" s="4"/>
      <c r="AU94" s="4"/>
    </row>
    <row r="95" spans="1:47" s="694" customFormat="1" ht="14.25" customHeight="1">
      <c r="A95" s="701">
        <v>89</v>
      </c>
      <c r="B95" s="477"/>
      <c r="C95" s="477" t="s">
        <v>1629</v>
      </c>
      <c r="D95" s="477"/>
      <c r="E95" s="475" t="s">
        <v>1453</v>
      </c>
      <c r="F95" s="611" t="s">
        <v>2005</v>
      </c>
      <c r="G95" s="482" t="s">
        <v>1943</v>
      </c>
      <c r="H95" s="482">
        <v>1</v>
      </c>
      <c r="I95" s="580">
        <v>41411</v>
      </c>
      <c r="J95" s="580">
        <v>41411</v>
      </c>
      <c r="K95" s="581">
        <v>159000</v>
      </c>
      <c r="L95" s="581">
        <v>0</v>
      </c>
      <c r="M95" s="582"/>
      <c r="N95" s="582"/>
      <c r="O95" s="582"/>
      <c r="P95" s="582">
        <f t="shared" si="27"/>
        <v>159000</v>
      </c>
      <c r="Q95" s="582">
        <f t="shared" si="28"/>
        <v>0</v>
      </c>
      <c r="R95" s="583">
        <f t="shared" si="29"/>
        <v>0</v>
      </c>
      <c r="S95" s="584"/>
      <c r="T95" s="584"/>
      <c r="U95" s="585">
        <f t="shared" si="43"/>
        <v>0</v>
      </c>
      <c r="V95" s="586" t="str">
        <f t="shared" si="30"/>
        <v/>
      </c>
      <c r="W95" s="611" t="s">
        <v>2074</v>
      </c>
      <c r="X95" s="618">
        <f>P95/H95</f>
        <v>159000</v>
      </c>
      <c r="Y95" s="618"/>
      <c r="Z95" s="617">
        <v>0</v>
      </c>
      <c r="AA95" s="361">
        <f t="shared" si="31"/>
        <v>0</v>
      </c>
      <c r="AB95" s="597"/>
      <c r="AC95" s="485">
        <f t="shared" si="32"/>
        <v>0</v>
      </c>
      <c r="AD95" s="597"/>
      <c r="AE95" s="485">
        <f t="shared" si="33"/>
        <v>0</v>
      </c>
      <c r="AF95" s="508">
        <f t="shared" si="34"/>
        <v>0</v>
      </c>
      <c r="AG95" s="508">
        <f t="shared" si="35"/>
        <v>0</v>
      </c>
      <c r="AH95" s="508">
        <f t="shared" si="36"/>
        <v>0</v>
      </c>
      <c r="AI95" s="508">
        <f t="shared" si="37"/>
        <v>0</v>
      </c>
      <c r="AJ95" s="508">
        <f t="shared" si="38"/>
        <v>0</v>
      </c>
      <c r="AK95" s="508">
        <f t="shared" si="39"/>
        <v>0</v>
      </c>
      <c r="AL95" s="116">
        <v>15</v>
      </c>
      <c r="AM95" s="486">
        <f t="shared" si="40"/>
        <v>4.54</v>
      </c>
      <c r="AN95" s="117">
        <f t="shared" si="42"/>
        <v>10</v>
      </c>
      <c r="AO95" s="487">
        <f t="shared" si="41"/>
        <v>69</v>
      </c>
      <c r="AP95" s="509"/>
      <c r="AQ95" s="4"/>
      <c r="AR95" s="4"/>
      <c r="AS95" s="4"/>
      <c r="AT95" s="4"/>
      <c r="AU95" s="4"/>
    </row>
    <row r="96" spans="1:47" s="694" customFormat="1" ht="14.25" customHeight="1">
      <c r="A96" s="701">
        <v>90</v>
      </c>
      <c r="B96" s="477"/>
      <c r="C96" s="477" t="s">
        <v>1509</v>
      </c>
      <c r="D96" s="477" t="s">
        <v>2037</v>
      </c>
      <c r="E96" s="475" t="s">
        <v>1453</v>
      </c>
      <c r="F96" s="611" t="s">
        <v>2006</v>
      </c>
      <c r="G96" s="482" t="s">
        <v>1943</v>
      </c>
      <c r="H96" s="482">
        <v>1</v>
      </c>
      <c r="I96" s="580">
        <v>41508</v>
      </c>
      <c r="J96" s="580">
        <v>41508</v>
      </c>
      <c r="K96" s="581">
        <v>35726.5</v>
      </c>
      <c r="L96" s="581">
        <v>3053.55</v>
      </c>
      <c r="M96" s="582"/>
      <c r="N96" s="582"/>
      <c r="O96" s="582"/>
      <c r="P96" s="582">
        <f t="shared" si="27"/>
        <v>35726.5</v>
      </c>
      <c r="Q96" s="582">
        <f t="shared" si="28"/>
        <v>3053.55</v>
      </c>
      <c r="R96" s="583">
        <f t="shared" si="29"/>
        <v>35000</v>
      </c>
      <c r="S96" s="668">
        <f>AP96</f>
        <v>20</v>
      </c>
      <c r="T96" s="584"/>
      <c r="U96" s="585">
        <f>IF(S96="",R96,ROUND(R96*S96/100,0))</f>
        <v>7000</v>
      </c>
      <c r="V96" s="586">
        <f t="shared" si="30"/>
        <v>129.24</v>
      </c>
      <c r="W96" s="477"/>
      <c r="X96" s="619">
        <f t="shared" ref="X96:X115" si="44">P96*1.17/H96</f>
        <v>41800.01</v>
      </c>
      <c r="Y96" s="618"/>
      <c r="Z96" s="489">
        <v>41000</v>
      </c>
      <c r="AA96" s="361">
        <f t="shared" si="31"/>
        <v>35042.74</v>
      </c>
      <c r="AB96" s="597"/>
      <c r="AC96" s="485">
        <f t="shared" si="32"/>
        <v>0</v>
      </c>
      <c r="AD96" s="597"/>
      <c r="AE96" s="485">
        <f t="shared" si="33"/>
        <v>0</v>
      </c>
      <c r="AF96" s="508">
        <f t="shared" si="34"/>
        <v>0</v>
      </c>
      <c r="AG96" s="508">
        <f t="shared" si="35"/>
        <v>0</v>
      </c>
      <c r="AH96" s="508">
        <f t="shared" si="36"/>
        <v>41000</v>
      </c>
      <c r="AI96" s="508">
        <f t="shared" si="37"/>
        <v>0</v>
      </c>
      <c r="AJ96" s="508">
        <f t="shared" si="38"/>
        <v>5957.26</v>
      </c>
      <c r="AK96" s="508">
        <f t="shared" si="39"/>
        <v>35000</v>
      </c>
      <c r="AL96" s="116">
        <v>10</v>
      </c>
      <c r="AM96" s="486">
        <f t="shared" si="40"/>
        <v>4.28</v>
      </c>
      <c r="AN96" s="117">
        <f t="shared" si="42"/>
        <v>6</v>
      </c>
      <c r="AO96" s="487">
        <f t="shared" si="41"/>
        <v>58</v>
      </c>
      <c r="AP96" s="509">
        <f>AO96*AP$4</f>
        <v>20</v>
      </c>
      <c r="AQ96" s="4"/>
      <c r="AR96" s="4"/>
      <c r="AS96" s="4"/>
      <c r="AT96" s="4"/>
      <c r="AU96" s="4"/>
    </row>
    <row r="97" spans="1:47" ht="14.25" customHeight="1">
      <c r="A97" s="701">
        <v>91</v>
      </c>
      <c r="B97" s="477"/>
      <c r="C97" s="477" t="s">
        <v>1625</v>
      </c>
      <c r="D97" s="477" t="s">
        <v>1237</v>
      </c>
      <c r="E97" s="475" t="s">
        <v>1453</v>
      </c>
      <c r="F97" s="477"/>
      <c r="G97" s="482" t="s">
        <v>1943</v>
      </c>
      <c r="H97" s="482">
        <v>1</v>
      </c>
      <c r="I97" s="580">
        <v>41562</v>
      </c>
      <c r="J97" s="580">
        <v>41562</v>
      </c>
      <c r="K97" s="581">
        <v>13448.51</v>
      </c>
      <c r="L97" s="581">
        <v>1149.45</v>
      </c>
      <c r="M97" s="582"/>
      <c r="N97" s="582"/>
      <c r="O97" s="582"/>
      <c r="P97" s="582">
        <f t="shared" si="27"/>
        <v>13448.51</v>
      </c>
      <c r="Q97" s="582">
        <f t="shared" si="28"/>
        <v>1149.45</v>
      </c>
      <c r="R97" s="583">
        <f t="shared" si="29"/>
        <v>12200</v>
      </c>
      <c r="S97" s="668">
        <f>AP97</f>
        <v>21</v>
      </c>
      <c r="T97" s="584">
        <v>3</v>
      </c>
      <c r="U97" s="585">
        <f>IF(S97="",R97,ROUND(R97*(S97-T97)/100,0))</f>
        <v>2196</v>
      </c>
      <c r="V97" s="586">
        <f t="shared" si="30"/>
        <v>91.05</v>
      </c>
      <c r="W97" s="477"/>
      <c r="X97" s="619">
        <f t="shared" si="44"/>
        <v>15734.76</v>
      </c>
      <c r="Y97" s="618"/>
      <c r="Z97" s="489">
        <v>14300</v>
      </c>
      <c r="AA97" s="361">
        <f t="shared" si="31"/>
        <v>12222.22</v>
      </c>
      <c r="AB97" s="597"/>
      <c r="AC97" s="485">
        <f t="shared" si="32"/>
        <v>0</v>
      </c>
      <c r="AD97" s="597"/>
      <c r="AE97" s="485">
        <f t="shared" si="33"/>
        <v>0</v>
      </c>
      <c r="AF97" s="508">
        <f t="shared" si="34"/>
        <v>0</v>
      </c>
      <c r="AG97" s="508">
        <f t="shared" si="35"/>
        <v>0</v>
      </c>
      <c r="AH97" s="508">
        <f t="shared" si="36"/>
        <v>14300</v>
      </c>
      <c r="AI97" s="508">
        <f t="shared" si="37"/>
        <v>0</v>
      </c>
      <c r="AJ97" s="508">
        <f t="shared" si="38"/>
        <v>2077.7800000000002</v>
      </c>
      <c r="AK97" s="508">
        <f t="shared" si="39"/>
        <v>12200</v>
      </c>
      <c r="AL97" s="116">
        <v>10</v>
      </c>
      <c r="AM97" s="486">
        <f t="shared" si="40"/>
        <v>4.13</v>
      </c>
      <c r="AN97" s="117">
        <f t="shared" si="42"/>
        <v>6</v>
      </c>
      <c r="AO97" s="487">
        <f t="shared" si="41"/>
        <v>59</v>
      </c>
      <c r="AP97" s="509">
        <f>AO97*AP$4</f>
        <v>21</v>
      </c>
      <c r="AS97" s="694"/>
      <c r="AT97" s="694"/>
      <c r="AU97" s="694"/>
    </row>
    <row r="98" spans="1:47" ht="14.25" customHeight="1">
      <c r="A98" s="701">
        <v>92</v>
      </c>
      <c r="B98" s="477"/>
      <c r="C98" s="477" t="s">
        <v>1626</v>
      </c>
      <c r="D98" s="477" t="s">
        <v>1237</v>
      </c>
      <c r="E98" s="475" t="s">
        <v>1453</v>
      </c>
      <c r="F98" s="477"/>
      <c r="G98" s="482" t="s">
        <v>1943</v>
      </c>
      <c r="H98" s="482">
        <v>1</v>
      </c>
      <c r="I98" s="580">
        <v>41562</v>
      </c>
      <c r="J98" s="580">
        <v>41562</v>
      </c>
      <c r="K98" s="581">
        <v>13448.93</v>
      </c>
      <c r="L98" s="581">
        <v>11095.43</v>
      </c>
      <c r="M98" s="582"/>
      <c r="N98" s="582"/>
      <c r="O98" s="582"/>
      <c r="P98" s="582">
        <f t="shared" si="27"/>
        <v>13448.93</v>
      </c>
      <c r="Q98" s="582">
        <f t="shared" si="28"/>
        <v>11095.43</v>
      </c>
      <c r="R98" s="583">
        <f t="shared" si="29"/>
        <v>12200</v>
      </c>
      <c r="S98" s="668">
        <f>AP98</f>
        <v>21</v>
      </c>
      <c r="T98" s="584">
        <v>3</v>
      </c>
      <c r="U98" s="585">
        <f>IF(S98="",R98,ROUND(R98*(S98-T98)/100,0))</f>
        <v>2196</v>
      </c>
      <c r="V98" s="586">
        <f t="shared" si="30"/>
        <v>-80.209999999999994</v>
      </c>
      <c r="W98" s="477"/>
      <c r="X98" s="619">
        <f t="shared" si="44"/>
        <v>15735.25</v>
      </c>
      <c r="Y98" s="618"/>
      <c r="Z98" s="489">
        <v>14300</v>
      </c>
      <c r="AA98" s="361">
        <f t="shared" si="31"/>
        <v>12222.22</v>
      </c>
      <c r="AB98" s="597"/>
      <c r="AC98" s="485">
        <f t="shared" si="32"/>
        <v>0</v>
      </c>
      <c r="AD98" s="597"/>
      <c r="AE98" s="485">
        <f t="shared" si="33"/>
        <v>0</v>
      </c>
      <c r="AF98" s="508">
        <f t="shared" si="34"/>
        <v>0</v>
      </c>
      <c r="AG98" s="508">
        <f t="shared" si="35"/>
        <v>0</v>
      </c>
      <c r="AH98" s="508">
        <f t="shared" si="36"/>
        <v>14300</v>
      </c>
      <c r="AI98" s="508">
        <f t="shared" si="37"/>
        <v>0</v>
      </c>
      <c r="AJ98" s="508">
        <f t="shared" si="38"/>
        <v>2077.7800000000002</v>
      </c>
      <c r="AK98" s="508">
        <f t="shared" si="39"/>
        <v>12200</v>
      </c>
      <c r="AL98" s="116">
        <v>10</v>
      </c>
      <c r="AM98" s="486">
        <f t="shared" si="40"/>
        <v>4.13</v>
      </c>
      <c r="AN98" s="117">
        <f t="shared" si="42"/>
        <v>6</v>
      </c>
      <c r="AO98" s="487">
        <f t="shared" si="41"/>
        <v>59</v>
      </c>
      <c r="AP98" s="509">
        <f>AO98*AP$4</f>
        <v>21</v>
      </c>
      <c r="AS98" s="694"/>
      <c r="AT98" s="694"/>
      <c r="AU98" s="694"/>
    </row>
    <row r="99" spans="1:47" ht="14.25" customHeight="1">
      <c r="A99" s="701">
        <v>93</v>
      </c>
      <c r="B99" s="477"/>
      <c r="C99" s="477" t="s">
        <v>1561</v>
      </c>
      <c r="D99" s="477" t="s">
        <v>1238</v>
      </c>
      <c r="E99" s="475" t="s">
        <v>1453</v>
      </c>
      <c r="F99" s="477"/>
      <c r="G99" s="482" t="s">
        <v>1943</v>
      </c>
      <c r="H99" s="482">
        <v>1</v>
      </c>
      <c r="I99" s="580">
        <v>41555</v>
      </c>
      <c r="J99" s="580">
        <v>41555</v>
      </c>
      <c r="K99" s="581">
        <v>14529.91</v>
      </c>
      <c r="L99" s="581">
        <v>11987.19</v>
      </c>
      <c r="M99" s="582"/>
      <c r="N99" s="582"/>
      <c r="O99" s="582"/>
      <c r="P99" s="582">
        <f t="shared" si="27"/>
        <v>14529.91</v>
      </c>
      <c r="Q99" s="582">
        <f t="shared" si="28"/>
        <v>11987.19</v>
      </c>
      <c r="R99" s="583">
        <f t="shared" si="29"/>
        <v>100</v>
      </c>
      <c r="S99" s="584"/>
      <c r="T99" s="584"/>
      <c r="U99" s="585">
        <f>ROUND(R99*(1-T99/100),0)</f>
        <v>100</v>
      </c>
      <c r="V99" s="586">
        <f t="shared" si="30"/>
        <v>-99.17</v>
      </c>
      <c r="W99" s="611" t="s">
        <v>2074</v>
      </c>
      <c r="X99" s="619">
        <f t="shared" si="44"/>
        <v>16999.990000000002</v>
      </c>
      <c r="Y99" s="618"/>
      <c r="Z99" s="617">
        <v>100</v>
      </c>
      <c r="AA99" s="361">
        <f t="shared" si="31"/>
        <v>85.47</v>
      </c>
      <c r="AB99" s="597"/>
      <c r="AC99" s="485">
        <f t="shared" si="32"/>
        <v>0</v>
      </c>
      <c r="AD99" s="597"/>
      <c r="AE99" s="485">
        <f t="shared" si="33"/>
        <v>0</v>
      </c>
      <c r="AF99" s="508">
        <f t="shared" si="34"/>
        <v>0</v>
      </c>
      <c r="AG99" s="508">
        <f t="shared" si="35"/>
        <v>0</v>
      </c>
      <c r="AH99" s="508">
        <f t="shared" si="36"/>
        <v>100</v>
      </c>
      <c r="AI99" s="508">
        <f t="shared" si="37"/>
        <v>0</v>
      </c>
      <c r="AJ99" s="508">
        <f t="shared" si="38"/>
        <v>14.53</v>
      </c>
      <c r="AK99" s="508">
        <f t="shared" si="39"/>
        <v>100</v>
      </c>
      <c r="AL99" s="116">
        <v>6</v>
      </c>
      <c r="AM99" s="486">
        <f t="shared" si="40"/>
        <v>4.1500000000000004</v>
      </c>
      <c r="AN99" s="117">
        <f t="shared" si="42"/>
        <v>2</v>
      </c>
      <c r="AO99" s="487">
        <f t="shared" si="41"/>
        <v>33</v>
      </c>
      <c r="AP99" s="509"/>
      <c r="AS99" s="694"/>
      <c r="AT99" s="694"/>
      <c r="AU99" s="694"/>
    </row>
    <row r="100" spans="1:47" ht="14.25" customHeight="1">
      <c r="A100" s="701">
        <v>94</v>
      </c>
      <c r="B100" s="477"/>
      <c r="C100" s="611" t="s">
        <v>2349</v>
      </c>
      <c r="D100" s="477" t="s">
        <v>1239</v>
      </c>
      <c r="E100" s="475" t="s">
        <v>1453</v>
      </c>
      <c r="F100" s="611" t="s">
        <v>2007</v>
      </c>
      <c r="G100" s="579" t="s">
        <v>1963</v>
      </c>
      <c r="H100" s="482">
        <v>1</v>
      </c>
      <c r="I100" s="580">
        <v>41627</v>
      </c>
      <c r="J100" s="580">
        <v>41627</v>
      </c>
      <c r="K100" s="581">
        <v>150508.35999999999</v>
      </c>
      <c r="L100" s="581">
        <v>7115.24</v>
      </c>
      <c r="M100" s="582"/>
      <c r="N100" s="582"/>
      <c r="O100" s="582"/>
      <c r="P100" s="582">
        <f t="shared" si="27"/>
        <v>150508.35999999999</v>
      </c>
      <c r="Q100" s="582">
        <f t="shared" si="28"/>
        <v>7115.24</v>
      </c>
      <c r="R100" s="583">
        <f t="shared" si="29"/>
        <v>200</v>
      </c>
      <c r="S100" s="584"/>
      <c r="T100" s="584">
        <v>3</v>
      </c>
      <c r="U100" s="585">
        <f>ROUND(R100*(1-T100/100),0)</f>
        <v>194</v>
      </c>
      <c r="V100" s="586">
        <f t="shared" si="30"/>
        <v>-97.27</v>
      </c>
      <c r="W100" s="611" t="s">
        <v>2074</v>
      </c>
      <c r="X100" s="619">
        <f t="shared" si="44"/>
        <v>176094.78</v>
      </c>
      <c r="Y100" s="618"/>
      <c r="Z100" s="617">
        <v>200</v>
      </c>
      <c r="AA100" s="361">
        <f t="shared" si="31"/>
        <v>170.94</v>
      </c>
      <c r="AB100" s="597"/>
      <c r="AC100" s="485">
        <f t="shared" si="32"/>
        <v>0</v>
      </c>
      <c r="AD100" s="597"/>
      <c r="AE100" s="485">
        <f t="shared" si="33"/>
        <v>0</v>
      </c>
      <c r="AF100" s="508">
        <f t="shared" si="34"/>
        <v>0</v>
      </c>
      <c r="AG100" s="508">
        <f t="shared" si="35"/>
        <v>0</v>
      </c>
      <c r="AH100" s="508">
        <f t="shared" si="36"/>
        <v>200</v>
      </c>
      <c r="AI100" s="508">
        <f t="shared" si="37"/>
        <v>0</v>
      </c>
      <c r="AJ100" s="508">
        <f t="shared" si="38"/>
        <v>29.06</v>
      </c>
      <c r="AK100" s="508">
        <f t="shared" si="39"/>
        <v>200</v>
      </c>
      <c r="AM100" s="486">
        <f t="shared" si="40"/>
        <v>3.95</v>
      </c>
      <c r="AN100" s="117">
        <f t="shared" si="42"/>
        <v>-4</v>
      </c>
      <c r="AO100" s="487">
        <f t="shared" si="41"/>
        <v>8000</v>
      </c>
      <c r="AP100" s="509"/>
      <c r="AS100" s="694"/>
      <c r="AT100" s="694"/>
      <c r="AU100" s="694"/>
    </row>
    <row r="101" spans="1:47" ht="14.25" customHeight="1">
      <c r="A101" s="701">
        <v>95</v>
      </c>
      <c r="B101" s="477"/>
      <c r="C101" s="477" t="s">
        <v>1457</v>
      </c>
      <c r="D101" s="477" t="s">
        <v>1240</v>
      </c>
      <c r="E101" s="475" t="s">
        <v>1453</v>
      </c>
      <c r="F101" s="611" t="s">
        <v>2008</v>
      </c>
      <c r="G101" s="482" t="s">
        <v>1943</v>
      </c>
      <c r="H101" s="482">
        <v>1</v>
      </c>
      <c r="I101" s="580">
        <v>41618</v>
      </c>
      <c r="J101" s="580">
        <v>41618</v>
      </c>
      <c r="K101" s="581">
        <v>164037.78</v>
      </c>
      <c r="L101" s="581">
        <v>1709.4</v>
      </c>
      <c r="M101" s="704" t="s">
        <v>2346</v>
      </c>
      <c r="N101" s="582"/>
      <c r="O101" s="582"/>
      <c r="P101" s="582">
        <f t="shared" si="27"/>
        <v>164037.78</v>
      </c>
      <c r="Q101" s="582">
        <f t="shared" si="28"/>
        <v>1709.4</v>
      </c>
      <c r="R101" s="583">
        <f t="shared" si="29"/>
        <v>115400</v>
      </c>
      <c r="S101" s="668">
        <f>AP101</f>
        <v>17</v>
      </c>
      <c r="T101" s="584">
        <v>5</v>
      </c>
      <c r="U101" s="585">
        <f>IF(S101="",R101,ROUND(R101*(S101-T101)/100,0))</f>
        <v>13848</v>
      </c>
      <c r="V101" s="586">
        <f t="shared" si="30"/>
        <v>710.11</v>
      </c>
      <c r="W101" s="477"/>
      <c r="X101" s="619">
        <f t="shared" si="44"/>
        <v>191924.2</v>
      </c>
      <c r="Y101" s="618"/>
      <c r="Z101" s="624">
        <v>135000</v>
      </c>
      <c r="AA101" s="361">
        <f t="shared" si="31"/>
        <v>115384.62</v>
      </c>
      <c r="AB101" s="597"/>
      <c r="AC101" s="485">
        <f t="shared" si="32"/>
        <v>0</v>
      </c>
      <c r="AD101" s="597"/>
      <c r="AE101" s="485">
        <f t="shared" si="33"/>
        <v>0</v>
      </c>
      <c r="AF101" s="508">
        <f t="shared" si="34"/>
        <v>0</v>
      </c>
      <c r="AG101" s="508">
        <f t="shared" si="35"/>
        <v>0</v>
      </c>
      <c r="AH101" s="508">
        <f t="shared" si="36"/>
        <v>135000</v>
      </c>
      <c r="AI101" s="508">
        <f t="shared" si="37"/>
        <v>0</v>
      </c>
      <c r="AJ101" s="508">
        <f t="shared" si="38"/>
        <v>19615.38</v>
      </c>
      <c r="AK101" s="508">
        <f t="shared" si="39"/>
        <v>115400</v>
      </c>
      <c r="AL101" s="116">
        <v>10</v>
      </c>
      <c r="AM101" s="486">
        <f t="shared" si="40"/>
        <v>3.98</v>
      </c>
      <c r="AN101" s="117">
        <f t="shared" si="42"/>
        <v>6</v>
      </c>
      <c r="AO101" s="487">
        <f t="shared" si="41"/>
        <v>60</v>
      </c>
      <c r="AP101" s="509">
        <v>17</v>
      </c>
    </row>
    <row r="102" spans="1:47" ht="14.25" customHeight="1">
      <c r="A102" s="701">
        <v>96</v>
      </c>
      <c r="B102" s="477"/>
      <c r="C102" s="477" t="s">
        <v>1647</v>
      </c>
      <c r="D102" s="477" t="s">
        <v>1241</v>
      </c>
      <c r="E102" s="475" t="s">
        <v>1453</v>
      </c>
      <c r="F102" s="611" t="s">
        <v>1998</v>
      </c>
      <c r="G102" s="482" t="s">
        <v>1943</v>
      </c>
      <c r="H102" s="482">
        <v>1</v>
      </c>
      <c r="I102" s="580">
        <v>41753</v>
      </c>
      <c r="J102" s="580">
        <v>41753</v>
      </c>
      <c r="K102" s="581">
        <v>23076.9</v>
      </c>
      <c r="L102" s="581">
        <v>1972.38</v>
      </c>
      <c r="M102" s="582"/>
      <c r="N102" s="582"/>
      <c r="O102" s="582"/>
      <c r="P102" s="582">
        <f t="shared" si="27"/>
        <v>23076.9</v>
      </c>
      <c r="Q102" s="582">
        <f t="shared" si="28"/>
        <v>1972.38</v>
      </c>
      <c r="R102" s="583">
        <f t="shared" si="29"/>
        <v>100</v>
      </c>
      <c r="S102" s="584"/>
      <c r="T102" s="584">
        <v>3</v>
      </c>
      <c r="U102" s="585">
        <f>ROUND(R102*(1-T102/100),0)</f>
        <v>97</v>
      </c>
      <c r="V102" s="586">
        <f t="shared" si="30"/>
        <v>-95.08</v>
      </c>
      <c r="W102" s="611" t="s">
        <v>2074</v>
      </c>
      <c r="X102" s="619">
        <f t="shared" si="44"/>
        <v>26999.97</v>
      </c>
      <c r="Y102" s="618"/>
      <c r="Z102" s="617">
        <v>100</v>
      </c>
      <c r="AA102" s="361">
        <f t="shared" si="31"/>
        <v>85.47</v>
      </c>
      <c r="AB102" s="597"/>
      <c r="AC102" s="485">
        <f t="shared" si="32"/>
        <v>0</v>
      </c>
      <c r="AD102" s="597"/>
      <c r="AE102" s="485">
        <f t="shared" si="33"/>
        <v>0</v>
      </c>
      <c r="AF102" s="508">
        <f t="shared" si="34"/>
        <v>0</v>
      </c>
      <c r="AG102" s="508">
        <f t="shared" si="35"/>
        <v>0</v>
      </c>
      <c r="AH102" s="508">
        <f t="shared" si="36"/>
        <v>100</v>
      </c>
      <c r="AI102" s="508">
        <f t="shared" si="37"/>
        <v>0</v>
      </c>
      <c r="AJ102" s="508">
        <f t="shared" si="38"/>
        <v>14.53</v>
      </c>
      <c r="AK102" s="508">
        <f t="shared" si="39"/>
        <v>100</v>
      </c>
      <c r="AM102" s="486">
        <f t="shared" si="40"/>
        <v>3.61</v>
      </c>
      <c r="AN102" s="117">
        <f t="shared" si="42"/>
        <v>-4</v>
      </c>
      <c r="AO102" s="487">
        <f t="shared" si="41"/>
        <v>1026</v>
      </c>
      <c r="AP102" s="509"/>
    </row>
    <row r="103" spans="1:47" ht="14.25" customHeight="1">
      <c r="A103" s="701">
        <v>97</v>
      </c>
      <c r="B103" s="477"/>
      <c r="C103" s="477" t="s">
        <v>1637</v>
      </c>
      <c r="D103" s="477" t="s">
        <v>1242</v>
      </c>
      <c r="E103" s="475" t="s">
        <v>1453</v>
      </c>
      <c r="F103" s="611" t="s">
        <v>2007</v>
      </c>
      <c r="G103" s="482" t="s">
        <v>1943</v>
      </c>
      <c r="H103" s="482">
        <v>1</v>
      </c>
      <c r="I103" s="580">
        <v>41753</v>
      </c>
      <c r="J103" s="580">
        <v>41753</v>
      </c>
      <c r="K103" s="581">
        <v>66025.64</v>
      </c>
      <c r="L103" s="581">
        <v>5643.22</v>
      </c>
      <c r="M103" s="582"/>
      <c r="N103" s="582"/>
      <c r="O103" s="582"/>
      <c r="P103" s="582">
        <f t="shared" si="27"/>
        <v>66025.64</v>
      </c>
      <c r="Q103" s="582">
        <f t="shared" si="28"/>
        <v>5643.22</v>
      </c>
      <c r="R103" s="583">
        <f t="shared" si="29"/>
        <v>200</v>
      </c>
      <c r="S103" s="584"/>
      <c r="T103" s="584">
        <v>3</v>
      </c>
      <c r="U103" s="585">
        <f>ROUND(R103*(1-T103/100),0)</f>
        <v>194</v>
      </c>
      <c r="V103" s="586">
        <f t="shared" si="30"/>
        <v>-96.56</v>
      </c>
      <c r="W103" s="611" t="s">
        <v>2074</v>
      </c>
      <c r="X103" s="619">
        <f t="shared" si="44"/>
        <v>77250</v>
      </c>
      <c r="Y103" s="618"/>
      <c r="Z103" s="617">
        <v>200</v>
      </c>
      <c r="AA103" s="361">
        <f t="shared" si="31"/>
        <v>170.94</v>
      </c>
      <c r="AB103" s="597"/>
      <c r="AC103" s="485">
        <f t="shared" si="32"/>
        <v>0</v>
      </c>
      <c r="AD103" s="597"/>
      <c r="AE103" s="485">
        <f t="shared" si="33"/>
        <v>0</v>
      </c>
      <c r="AF103" s="508">
        <f t="shared" si="34"/>
        <v>0</v>
      </c>
      <c r="AG103" s="508">
        <f t="shared" si="35"/>
        <v>0</v>
      </c>
      <c r="AH103" s="508">
        <f t="shared" si="36"/>
        <v>200</v>
      </c>
      <c r="AI103" s="508">
        <f t="shared" si="37"/>
        <v>0</v>
      </c>
      <c r="AJ103" s="508">
        <f t="shared" si="38"/>
        <v>29.06</v>
      </c>
      <c r="AK103" s="508">
        <f t="shared" si="39"/>
        <v>200</v>
      </c>
      <c r="AM103" s="486">
        <f t="shared" si="40"/>
        <v>3.61</v>
      </c>
      <c r="AN103" s="117">
        <f t="shared" si="42"/>
        <v>-4</v>
      </c>
      <c r="AO103" s="487">
        <f t="shared" si="41"/>
        <v>1026</v>
      </c>
      <c r="AP103" s="509"/>
    </row>
    <row r="104" spans="1:47" ht="14.25" customHeight="1">
      <c r="A104" s="701">
        <v>98</v>
      </c>
      <c r="B104" s="477"/>
      <c r="C104" s="477" t="s">
        <v>1674</v>
      </c>
      <c r="D104" s="477"/>
      <c r="E104" s="475" t="s">
        <v>1453</v>
      </c>
      <c r="F104" s="477"/>
      <c r="G104" s="482" t="s">
        <v>1943</v>
      </c>
      <c r="H104" s="482">
        <v>1</v>
      </c>
      <c r="I104" s="580">
        <v>41894</v>
      </c>
      <c r="J104" s="580">
        <v>41894</v>
      </c>
      <c r="K104" s="581">
        <v>14940.17</v>
      </c>
      <c r="L104" s="581">
        <v>1276.94</v>
      </c>
      <c r="M104" s="582"/>
      <c r="N104" s="582"/>
      <c r="O104" s="582"/>
      <c r="P104" s="582">
        <f t="shared" si="27"/>
        <v>14940.17</v>
      </c>
      <c r="Q104" s="582">
        <f t="shared" si="28"/>
        <v>1276.94</v>
      </c>
      <c r="R104" s="583">
        <f t="shared" si="29"/>
        <v>200</v>
      </c>
      <c r="S104" s="584"/>
      <c r="T104" s="584">
        <v>3</v>
      </c>
      <c r="U104" s="585">
        <f>ROUND(R104*(1-T104/100),0)</f>
        <v>194</v>
      </c>
      <c r="V104" s="586">
        <f t="shared" si="30"/>
        <v>-84.81</v>
      </c>
      <c r="W104" s="611" t="s">
        <v>2074</v>
      </c>
      <c r="X104" s="619">
        <f t="shared" si="44"/>
        <v>17480</v>
      </c>
      <c r="Y104" s="618"/>
      <c r="Z104" s="617">
        <v>200</v>
      </c>
      <c r="AA104" s="361">
        <f t="shared" si="31"/>
        <v>170.94</v>
      </c>
      <c r="AB104" s="597"/>
      <c r="AC104" s="485">
        <f t="shared" si="32"/>
        <v>0</v>
      </c>
      <c r="AD104" s="597"/>
      <c r="AE104" s="485">
        <f t="shared" si="33"/>
        <v>0</v>
      </c>
      <c r="AF104" s="508">
        <f t="shared" si="34"/>
        <v>0</v>
      </c>
      <c r="AG104" s="508">
        <f t="shared" si="35"/>
        <v>0</v>
      </c>
      <c r="AH104" s="508">
        <f t="shared" si="36"/>
        <v>200</v>
      </c>
      <c r="AI104" s="508">
        <f t="shared" si="37"/>
        <v>0</v>
      </c>
      <c r="AJ104" s="508">
        <f t="shared" si="38"/>
        <v>29.06</v>
      </c>
      <c r="AK104" s="508">
        <f t="shared" si="39"/>
        <v>200</v>
      </c>
      <c r="AM104" s="486">
        <f t="shared" si="40"/>
        <v>3.22</v>
      </c>
      <c r="AN104" s="117">
        <f t="shared" si="42"/>
        <v>-3</v>
      </c>
      <c r="AO104" s="487">
        <f t="shared" si="41"/>
        <v>-1364</v>
      </c>
      <c r="AP104" s="509"/>
    </row>
    <row r="105" spans="1:47" ht="14.25" customHeight="1">
      <c r="A105" s="701">
        <v>99</v>
      </c>
      <c r="B105" s="477"/>
      <c r="C105" s="477" t="s">
        <v>1719</v>
      </c>
      <c r="D105" s="477"/>
      <c r="E105" s="475" t="s">
        <v>1453</v>
      </c>
      <c r="F105" s="611" t="s">
        <v>2009</v>
      </c>
      <c r="G105" s="482" t="s">
        <v>1943</v>
      </c>
      <c r="H105" s="482">
        <v>1</v>
      </c>
      <c r="I105" s="580">
        <v>41943</v>
      </c>
      <c r="J105" s="580">
        <v>41943</v>
      </c>
      <c r="K105" s="581">
        <v>544478.65</v>
      </c>
      <c r="L105" s="581">
        <v>450556.1</v>
      </c>
      <c r="M105" s="704" t="s">
        <v>2346</v>
      </c>
      <c r="N105" s="582"/>
      <c r="O105" s="582"/>
      <c r="P105" s="582">
        <f t="shared" si="27"/>
        <v>544478.65</v>
      </c>
      <c r="Q105" s="582">
        <f t="shared" si="28"/>
        <v>450556.1</v>
      </c>
      <c r="R105" s="583">
        <f t="shared" si="29"/>
        <v>393200</v>
      </c>
      <c r="S105" s="668">
        <f>AP105</f>
        <v>25</v>
      </c>
      <c r="T105" s="584">
        <v>3</v>
      </c>
      <c r="U105" s="585">
        <f>IF(S105="",R105,ROUND(R105*(S105-T105)/100,0))</f>
        <v>86504</v>
      </c>
      <c r="V105" s="586">
        <f t="shared" si="30"/>
        <v>-80.8</v>
      </c>
      <c r="W105" s="477"/>
      <c r="X105" s="619">
        <f t="shared" si="44"/>
        <v>637040.02</v>
      </c>
      <c r="Y105" s="618"/>
      <c r="Z105" s="624">
        <v>460000</v>
      </c>
      <c r="AA105" s="361">
        <f t="shared" si="31"/>
        <v>393162.39</v>
      </c>
      <c r="AB105" s="597"/>
      <c r="AC105" s="485">
        <f t="shared" si="32"/>
        <v>0</v>
      </c>
      <c r="AD105" s="597"/>
      <c r="AE105" s="485">
        <f t="shared" si="33"/>
        <v>0</v>
      </c>
      <c r="AF105" s="508">
        <f t="shared" si="34"/>
        <v>0</v>
      </c>
      <c r="AG105" s="508">
        <f t="shared" si="35"/>
        <v>0</v>
      </c>
      <c r="AH105" s="508">
        <f t="shared" si="36"/>
        <v>460000</v>
      </c>
      <c r="AI105" s="508">
        <f t="shared" si="37"/>
        <v>0</v>
      </c>
      <c r="AJ105" s="508">
        <f t="shared" si="38"/>
        <v>66837.61</v>
      </c>
      <c r="AK105" s="508">
        <f t="shared" si="39"/>
        <v>393200</v>
      </c>
      <c r="AL105" s="116">
        <v>12</v>
      </c>
      <c r="AM105" s="486">
        <f t="shared" si="40"/>
        <v>3.08</v>
      </c>
      <c r="AN105" s="117">
        <f t="shared" si="42"/>
        <v>9</v>
      </c>
      <c r="AO105" s="487">
        <f t="shared" si="41"/>
        <v>75</v>
      </c>
      <c r="AP105" s="509">
        <v>25</v>
      </c>
    </row>
    <row r="106" spans="1:47" ht="14.25" customHeight="1">
      <c r="A106" s="701">
        <v>100</v>
      </c>
      <c r="B106" s="477"/>
      <c r="C106" s="477" t="s">
        <v>1621</v>
      </c>
      <c r="D106" s="477"/>
      <c r="E106" s="475" t="s">
        <v>1453</v>
      </c>
      <c r="F106" s="611" t="s">
        <v>2010</v>
      </c>
      <c r="G106" s="482" t="s">
        <v>1943</v>
      </c>
      <c r="H106" s="482">
        <v>1</v>
      </c>
      <c r="I106" s="580">
        <v>41943</v>
      </c>
      <c r="J106" s="580">
        <v>41943</v>
      </c>
      <c r="K106" s="581">
        <v>458826.68</v>
      </c>
      <c r="L106" s="581">
        <v>5128.21</v>
      </c>
      <c r="M106" s="704" t="s">
        <v>2346</v>
      </c>
      <c r="N106" s="582"/>
      <c r="O106" s="582"/>
      <c r="P106" s="582">
        <f t="shared" si="27"/>
        <v>458826.68</v>
      </c>
      <c r="Q106" s="582">
        <f t="shared" si="28"/>
        <v>5128.21</v>
      </c>
      <c r="R106" s="583">
        <f t="shared" si="29"/>
        <v>324800</v>
      </c>
      <c r="S106" s="668">
        <f>AP106</f>
        <v>25</v>
      </c>
      <c r="T106" s="584">
        <v>3</v>
      </c>
      <c r="U106" s="585">
        <f>IF(S106="",R106,ROUND(R106*(S106-T106)/100,0))</f>
        <v>71456</v>
      </c>
      <c r="V106" s="586">
        <f t="shared" si="30"/>
        <v>1293.3900000000001</v>
      </c>
      <c r="W106" s="477"/>
      <c r="X106" s="619">
        <f t="shared" si="44"/>
        <v>536827.22</v>
      </c>
      <c r="Y106" s="618"/>
      <c r="Z106" s="624">
        <v>380000</v>
      </c>
      <c r="AA106" s="361">
        <f t="shared" si="31"/>
        <v>324786.32</v>
      </c>
      <c r="AB106" s="597"/>
      <c r="AC106" s="485">
        <f t="shared" si="32"/>
        <v>0</v>
      </c>
      <c r="AD106" s="597"/>
      <c r="AE106" s="485">
        <f t="shared" si="33"/>
        <v>0</v>
      </c>
      <c r="AF106" s="508">
        <f t="shared" si="34"/>
        <v>0</v>
      </c>
      <c r="AG106" s="508">
        <f t="shared" si="35"/>
        <v>0</v>
      </c>
      <c r="AH106" s="508">
        <f t="shared" si="36"/>
        <v>380000</v>
      </c>
      <c r="AI106" s="508">
        <f t="shared" si="37"/>
        <v>0</v>
      </c>
      <c r="AJ106" s="508">
        <f t="shared" si="38"/>
        <v>55213.68</v>
      </c>
      <c r="AK106" s="508">
        <f t="shared" si="39"/>
        <v>324800</v>
      </c>
      <c r="AL106" s="116">
        <v>12</v>
      </c>
      <c r="AM106" s="486">
        <f t="shared" si="40"/>
        <v>3.08</v>
      </c>
      <c r="AN106" s="117">
        <f t="shared" si="42"/>
        <v>9</v>
      </c>
      <c r="AO106" s="487">
        <f t="shared" si="41"/>
        <v>75</v>
      </c>
      <c r="AP106" s="509">
        <v>25</v>
      </c>
    </row>
    <row r="107" spans="1:47" ht="14.25" customHeight="1">
      <c r="A107" s="701">
        <v>101</v>
      </c>
      <c r="B107" s="477"/>
      <c r="C107" s="477" t="s">
        <v>1590</v>
      </c>
      <c r="D107" s="477"/>
      <c r="E107" s="475" t="s">
        <v>1453</v>
      </c>
      <c r="F107" s="611" t="s">
        <v>2011</v>
      </c>
      <c r="G107" s="482" t="s">
        <v>1943</v>
      </c>
      <c r="H107" s="482">
        <v>1</v>
      </c>
      <c r="I107" s="580">
        <v>41943</v>
      </c>
      <c r="J107" s="580">
        <v>41943</v>
      </c>
      <c r="K107" s="581">
        <v>87179.49</v>
      </c>
      <c r="L107" s="581">
        <v>57102.6</v>
      </c>
      <c r="M107" s="582"/>
      <c r="N107" s="582"/>
      <c r="O107" s="582"/>
      <c r="P107" s="582">
        <f t="shared" si="27"/>
        <v>87179.49</v>
      </c>
      <c r="Q107" s="582">
        <f t="shared" si="28"/>
        <v>57102.6</v>
      </c>
      <c r="R107" s="583">
        <f t="shared" si="29"/>
        <v>68400</v>
      </c>
      <c r="S107" s="668">
        <f>AP107</f>
        <v>17</v>
      </c>
      <c r="T107" s="584"/>
      <c r="U107" s="585">
        <f>IF(S107="",R107,ROUND(R107*S107/100,0))</f>
        <v>11628</v>
      </c>
      <c r="V107" s="586">
        <f t="shared" si="30"/>
        <v>-79.64</v>
      </c>
      <c r="W107" s="477"/>
      <c r="X107" s="619">
        <f t="shared" si="44"/>
        <v>102000</v>
      </c>
      <c r="Y107" s="618"/>
      <c r="Z107" s="489">
        <v>80000</v>
      </c>
      <c r="AA107" s="361">
        <f t="shared" si="31"/>
        <v>68376.070000000007</v>
      </c>
      <c r="AB107" s="597"/>
      <c r="AC107" s="485">
        <f t="shared" si="32"/>
        <v>0</v>
      </c>
      <c r="AD107" s="597"/>
      <c r="AE107" s="485">
        <f t="shared" si="33"/>
        <v>0</v>
      </c>
      <c r="AF107" s="508">
        <f t="shared" si="34"/>
        <v>0</v>
      </c>
      <c r="AG107" s="508">
        <f t="shared" si="35"/>
        <v>0</v>
      </c>
      <c r="AH107" s="508">
        <f t="shared" si="36"/>
        <v>80000</v>
      </c>
      <c r="AI107" s="508">
        <f t="shared" si="37"/>
        <v>0</v>
      </c>
      <c r="AJ107" s="508">
        <f t="shared" si="38"/>
        <v>11623.93</v>
      </c>
      <c r="AK107" s="508">
        <f t="shared" si="39"/>
        <v>68400</v>
      </c>
      <c r="AL107" s="116">
        <v>6</v>
      </c>
      <c r="AM107" s="486">
        <f t="shared" si="40"/>
        <v>3.08</v>
      </c>
      <c r="AN107" s="117">
        <f t="shared" si="42"/>
        <v>3</v>
      </c>
      <c r="AO107" s="487">
        <f t="shared" si="41"/>
        <v>49</v>
      </c>
      <c r="AP107" s="509">
        <f>AO107*AP$4</f>
        <v>17</v>
      </c>
    </row>
    <row r="108" spans="1:47" ht="14.25" customHeight="1">
      <c r="A108" s="701">
        <v>102</v>
      </c>
      <c r="B108" s="477"/>
      <c r="C108" s="477" t="s">
        <v>1654</v>
      </c>
      <c r="D108" s="477"/>
      <c r="E108" s="475" t="s">
        <v>1453</v>
      </c>
      <c r="F108" s="477"/>
      <c r="G108" s="482" t="s">
        <v>1943</v>
      </c>
      <c r="H108" s="482">
        <v>1</v>
      </c>
      <c r="I108" s="580">
        <v>41943</v>
      </c>
      <c r="J108" s="580">
        <v>41943</v>
      </c>
      <c r="K108" s="581">
        <v>22222.22</v>
      </c>
      <c r="L108" s="581">
        <v>1899.34</v>
      </c>
      <c r="M108" s="582"/>
      <c r="N108" s="582"/>
      <c r="O108" s="582"/>
      <c r="P108" s="582">
        <f t="shared" si="27"/>
        <v>22222.22</v>
      </c>
      <c r="Q108" s="582">
        <f t="shared" si="28"/>
        <v>1899.34</v>
      </c>
      <c r="R108" s="583">
        <f t="shared" si="29"/>
        <v>21800</v>
      </c>
      <c r="S108" s="668">
        <f>AP108</f>
        <v>24</v>
      </c>
      <c r="T108" s="584">
        <v>3</v>
      </c>
      <c r="U108" s="585">
        <f>IF(S108="",R108,ROUND(R108*(S108-T108)/100,0))</f>
        <v>4578</v>
      </c>
      <c r="V108" s="586">
        <f t="shared" si="30"/>
        <v>141.03</v>
      </c>
      <c r="W108" s="477"/>
      <c r="X108" s="619">
        <f t="shared" si="44"/>
        <v>26000</v>
      </c>
      <c r="Y108" s="618"/>
      <c r="Z108" s="489">
        <v>25500</v>
      </c>
      <c r="AA108" s="361">
        <f t="shared" si="31"/>
        <v>21794.87</v>
      </c>
      <c r="AB108" s="597"/>
      <c r="AC108" s="485">
        <f t="shared" si="32"/>
        <v>0</v>
      </c>
      <c r="AD108" s="597"/>
      <c r="AE108" s="485">
        <f t="shared" si="33"/>
        <v>0</v>
      </c>
      <c r="AF108" s="508">
        <f t="shared" si="34"/>
        <v>0</v>
      </c>
      <c r="AG108" s="508">
        <f t="shared" si="35"/>
        <v>0</v>
      </c>
      <c r="AH108" s="508">
        <f t="shared" si="36"/>
        <v>25500</v>
      </c>
      <c r="AI108" s="508">
        <f t="shared" si="37"/>
        <v>0</v>
      </c>
      <c r="AJ108" s="508">
        <f t="shared" si="38"/>
        <v>3705.13</v>
      </c>
      <c r="AK108" s="508">
        <f t="shared" si="39"/>
        <v>21800</v>
      </c>
      <c r="AL108" s="116">
        <v>10</v>
      </c>
      <c r="AM108" s="486">
        <f t="shared" si="40"/>
        <v>3.08</v>
      </c>
      <c r="AN108" s="117">
        <f t="shared" si="42"/>
        <v>7</v>
      </c>
      <c r="AO108" s="487">
        <f t="shared" si="41"/>
        <v>69</v>
      </c>
      <c r="AP108" s="509">
        <f>AO108*AP$4</f>
        <v>24</v>
      </c>
    </row>
    <row r="109" spans="1:47" ht="14.25" customHeight="1">
      <c r="A109" s="701">
        <v>103</v>
      </c>
      <c r="B109" s="477"/>
      <c r="C109" s="477" t="s">
        <v>1775</v>
      </c>
      <c r="D109" s="477"/>
      <c r="E109" s="475" t="s">
        <v>1453</v>
      </c>
      <c r="F109" s="611" t="s">
        <v>2005</v>
      </c>
      <c r="G109" s="482" t="s">
        <v>1943</v>
      </c>
      <c r="H109" s="482">
        <v>1</v>
      </c>
      <c r="I109" s="580">
        <v>41943</v>
      </c>
      <c r="J109" s="580">
        <v>41943</v>
      </c>
      <c r="K109" s="581">
        <v>112957.26</v>
      </c>
      <c r="L109" s="581">
        <v>10680.11</v>
      </c>
      <c r="M109" s="582"/>
      <c r="N109" s="582"/>
      <c r="O109" s="582"/>
      <c r="P109" s="582">
        <f t="shared" si="27"/>
        <v>112957.26</v>
      </c>
      <c r="Q109" s="582">
        <f t="shared" si="28"/>
        <v>10680.11</v>
      </c>
      <c r="R109" s="583">
        <f t="shared" si="29"/>
        <v>1700</v>
      </c>
      <c r="S109" s="584"/>
      <c r="T109" s="584">
        <v>4</v>
      </c>
      <c r="U109" s="585">
        <f t="shared" ref="U109:U114" si="45">ROUND(R109*(1-T109/100),0)</f>
        <v>1632</v>
      </c>
      <c r="V109" s="586">
        <f t="shared" si="30"/>
        <v>-84.72</v>
      </c>
      <c r="W109" s="611" t="s">
        <v>2074</v>
      </c>
      <c r="X109" s="619">
        <f t="shared" si="44"/>
        <v>132159.99</v>
      </c>
      <c r="Y109" s="618"/>
      <c r="Z109" s="617">
        <v>2000</v>
      </c>
      <c r="AA109" s="361">
        <f t="shared" si="31"/>
        <v>1709.4</v>
      </c>
      <c r="AB109" s="597"/>
      <c r="AC109" s="485">
        <f t="shared" si="32"/>
        <v>0</v>
      </c>
      <c r="AD109" s="597"/>
      <c r="AE109" s="485">
        <f t="shared" si="33"/>
        <v>0</v>
      </c>
      <c r="AF109" s="508">
        <f t="shared" si="34"/>
        <v>0</v>
      </c>
      <c r="AG109" s="508">
        <f t="shared" si="35"/>
        <v>0</v>
      </c>
      <c r="AH109" s="508">
        <f t="shared" si="36"/>
        <v>2000</v>
      </c>
      <c r="AI109" s="508">
        <f t="shared" si="37"/>
        <v>0</v>
      </c>
      <c r="AJ109" s="508">
        <f t="shared" si="38"/>
        <v>290.60000000000002</v>
      </c>
      <c r="AK109" s="508">
        <f t="shared" si="39"/>
        <v>1700</v>
      </c>
      <c r="AM109" s="486">
        <f t="shared" si="40"/>
        <v>3.08</v>
      </c>
      <c r="AN109" s="117">
        <f t="shared" si="42"/>
        <v>-3</v>
      </c>
      <c r="AO109" s="487">
        <f t="shared" si="41"/>
        <v>-3750</v>
      </c>
      <c r="AP109" s="509"/>
    </row>
    <row r="110" spans="1:47" ht="14.25" customHeight="1">
      <c r="A110" s="701">
        <v>104</v>
      </c>
      <c r="B110" s="477"/>
      <c r="C110" s="477" t="s">
        <v>1577</v>
      </c>
      <c r="D110" s="477"/>
      <c r="E110" s="475" t="s">
        <v>1453</v>
      </c>
      <c r="F110" s="611" t="s">
        <v>2005</v>
      </c>
      <c r="G110" s="482" t="s">
        <v>1943</v>
      </c>
      <c r="H110" s="482">
        <v>1</v>
      </c>
      <c r="I110" s="580">
        <v>41943</v>
      </c>
      <c r="J110" s="580">
        <v>41943</v>
      </c>
      <c r="K110" s="581">
        <v>24786.32</v>
      </c>
      <c r="L110" s="581">
        <v>1025.6400000000001</v>
      </c>
      <c r="M110" s="582"/>
      <c r="N110" s="582"/>
      <c r="O110" s="582"/>
      <c r="P110" s="582">
        <f t="shared" si="27"/>
        <v>24786.32</v>
      </c>
      <c r="Q110" s="582">
        <f t="shared" si="28"/>
        <v>1025.6400000000001</v>
      </c>
      <c r="R110" s="583">
        <f t="shared" si="29"/>
        <v>300</v>
      </c>
      <c r="S110" s="584"/>
      <c r="T110" s="584">
        <v>4</v>
      </c>
      <c r="U110" s="585">
        <f t="shared" si="45"/>
        <v>288</v>
      </c>
      <c r="V110" s="586">
        <f t="shared" si="30"/>
        <v>-71.92</v>
      </c>
      <c r="W110" s="611" t="s">
        <v>2074</v>
      </c>
      <c r="X110" s="619">
        <f t="shared" si="44"/>
        <v>28999.99</v>
      </c>
      <c r="Y110" s="618"/>
      <c r="Z110" s="617">
        <v>300</v>
      </c>
      <c r="AA110" s="361">
        <f t="shared" si="31"/>
        <v>256.41000000000003</v>
      </c>
      <c r="AB110" s="597"/>
      <c r="AC110" s="485">
        <f t="shared" si="32"/>
        <v>0</v>
      </c>
      <c r="AD110" s="597"/>
      <c r="AE110" s="485">
        <f t="shared" si="33"/>
        <v>0</v>
      </c>
      <c r="AF110" s="508">
        <f t="shared" si="34"/>
        <v>0</v>
      </c>
      <c r="AG110" s="508">
        <f t="shared" si="35"/>
        <v>0</v>
      </c>
      <c r="AH110" s="508">
        <f t="shared" si="36"/>
        <v>300</v>
      </c>
      <c r="AI110" s="508">
        <f t="shared" si="37"/>
        <v>0</v>
      </c>
      <c r="AJ110" s="508">
        <f t="shared" si="38"/>
        <v>43.59</v>
      </c>
      <c r="AK110" s="508">
        <f t="shared" si="39"/>
        <v>300</v>
      </c>
      <c r="AL110" s="116">
        <v>10</v>
      </c>
      <c r="AM110" s="486">
        <f t="shared" si="40"/>
        <v>3.08</v>
      </c>
      <c r="AN110" s="117">
        <f t="shared" si="42"/>
        <v>7</v>
      </c>
      <c r="AO110" s="487">
        <f t="shared" si="41"/>
        <v>69</v>
      </c>
      <c r="AP110" s="509"/>
    </row>
    <row r="111" spans="1:47" ht="14.25" customHeight="1">
      <c r="A111" s="701">
        <v>105</v>
      </c>
      <c r="B111" s="477"/>
      <c r="C111" s="477" t="s">
        <v>1664</v>
      </c>
      <c r="D111" s="477"/>
      <c r="E111" s="475" t="s">
        <v>1453</v>
      </c>
      <c r="F111" s="477"/>
      <c r="G111" s="579" t="s">
        <v>1965</v>
      </c>
      <c r="H111" s="482">
        <v>1</v>
      </c>
      <c r="I111" s="580">
        <v>41943</v>
      </c>
      <c r="J111" s="580">
        <v>41943</v>
      </c>
      <c r="K111" s="581">
        <v>1923.08</v>
      </c>
      <c r="L111" s="581">
        <v>0</v>
      </c>
      <c r="M111" s="582"/>
      <c r="N111" s="582"/>
      <c r="O111" s="582"/>
      <c r="P111" s="582">
        <f t="shared" si="27"/>
        <v>1923.08</v>
      </c>
      <c r="Q111" s="582">
        <f t="shared" si="28"/>
        <v>0</v>
      </c>
      <c r="R111" s="583">
        <f t="shared" si="29"/>
        <v>0</v>
      </c>
      <c r="S111" s="584"/>
      <c r="T111" s="584"/>
      <c r="U111" s="585">
        <f t="shared" si="45"/>
        <v>0</v>
      </c>
      <c r="V111" s="586" t="str">
        <f t="shared" si="30"/>
        <v/>
      </c>
      <c r="W111" s="611" t="s">
        <v>2076</v>
      </c>
      <c r="X111" s="619">
        <f t="shared" si="44"/>
        <v>2250</v>
      </c>
      <c r="Y111" s="618"/>
      <c r="Z111" s="617">
        <v>0</v>
      </c>
      <c r="AA111" s="361">
        <f t="shared" si="31"/>
        <v>0</v>
      </c>
      <c r="AB111" s="597"/>
      <c r="AC111" s="485">
        <f t="shared" si="32"/>
        <v>0</v>
      </c>
      <c r="AD111" s="597"/>
      <c r="AE111" s="485">
        <f t="shared" si="33"/>
        <v>0</v>
      </c>
      <c r="AF111" s="508">
        <f t="shared" si="34"/>
        <v>0</v>
      </c>
      <c r="AG111" s="508">
        <f t="shared" si="35"/>
        <v>0</v>
      </c>
      <c r="AH111" s="508">
        <f t="shared" si="36"/>
        <v>0</v>
      </c>
      <c r="AI111" s="508">
        <f t="shared" si="37"/>
        <v>0</v>
      </c>
      <c r="AJ111" s="508">
        <f t="shared" si="38"/>
        <v>0</v>
      </c>
      <c r="AK111" s="508">
        <f t="shared" si="39"/>
        <v>0</v>
      </c>
      <c r="AL111" s="116">
        <v>6</v>
      </c>
      <c r="AM111" s="486">
        <f t="shared" si="40"/>
        <v>3.08</v>
      </c>
      <c r="AN111" s="117">
        <f t="shared" si="42"/>
        <v>3</v>
      </c>
      <c r="AO111" s="487">
        <f t="shared" si="41"/>
        <v>49</v>
      </c>
      <c r="AP111" s="509"/>
    </row>
    <row r="112" spans="1:47" ht="14.25" customHeight="1">
      <c r="A112" s="701">
        <v>106</v>
      </c>
      <c r="B112" s="477"/>
      <c r="C112" s="477" t="s">
        <v>1599</v>
      </c>
      <c r="D112" s="477"/>
      <c r="E112" s="475" t="s">
        <v>1453</v>
      </c>
      <c r="F112" s="477"/>
      <c r="G112" s="482" t="s">
        <v>1943</v>
      </c>
      <c r="H112" s="482">
        <v>1</v>
      </c>
      <c r="I112" s="580">
        <v>41943</v>
      </c>
      <c r="J112" s="580">
        <v>41943</v>
      </c>
      <c r="K112" s="581">
        <v>1620.52</v>
      </c>
      <c r="L112" s="581">
        <v>0</v>
      </c>
      <c r="M112" s="582"/>
      <c r="N112" s="582"/>
      <c r="O112" s="582"/>
      <c r="P112" s="582">
        <f t="shared" si="27"/>
        <v>1620.52</v>
      </c>
      <c r="Q112" s="582">
        <f t="shared" si="28"/>
        <v>0</v>
      </c>
      <c r="R112" s="583">
        <f t="shared" si="29"/>
        <v>0</v>
      </c>
      <c r="S112" s="584"/>
      <c r="T112" s="584"/>
      <c r="U112" s="585">
        <f t="shared" si="45"/>
        <v>0</v>
      </c>
      <c r="V112" s="586" t="str">
        <f t="shared" si="30"/>
        <v/>
      </c>
      <c r="W112" s="611" t="s">
        <v>2074</v>
      </c>
      <c r="X112" s="619">
        <f t="shared" si="44"/>
        <v>1896.01</v>
      </c>
      <c r="Y112" s="618"/>
      <c r="Z112" s="617">
        <v>0</v>
      </c>
      <c r="AA112" s="361">
        <f t="shared" si="31"/>
        <v>0</v>
      </c>
      <c r="AB112" s="597"/>
      <c r="AC112" s="485">
        <f t="shared" si="32"/>
        <v>0</v>
      </c>
      <c r="AD112" s="597"/>
      <c r="AE112" s="485">
        <f t="shared" si="33"/>
        <v>0</v>
      </c>
      <c r="AF112" s="508">
        <f t="shared" si="34"/>
        <v>0</v>
      </c>
      <c r="AG112" s="508">
        <f t="shared" si="35"/>
        <v>0</v>
      </c>
      <c r="AH112" s="508">
        <f t="shared" si="36"/>
        <v>0</v>
      </c>
      <c r="AI112" s="508">
        <f t="shared" si="37"/>
        <v>0</v>
      </c>
      <c r="AJ112" s="508">
        <f t="shared" si="38"/>
        <v>0</v>
      </c>
      <c r="AK112" s="508">
        <f t="shared" si="39"/>
        <v>0</v>
      </c>
      <c r="AL112" s="116">
        <v>6</v>
      </c>
      <c r="AM112" s="486">
        <f t="shared" si="40"/>
        <v>3.08</v>
      </c>
      <c r="AN112" s="117">
        <f t="shared" si="42"/>
        <v>3</v>
      </c>
      <c r="AO112" s="487">
        <f t="shared" si="41"/>
        <v>49</v>
      </c>
      <c r="AP112" s="509"/>
    </row>
    <row r="113" spans="1:47" ht="14.25" customHeight="1">
      <c r="A113" s="701">
        <v>107</v>
      </c>
      <c r="B113" s="477"/>
      <c r="C113" s="477" t="s">
        <v>1600</v>
      </c>
      <c r="D113" s="477"/>
      <c r="E113" s="475" t="s">
        <v>1453</v>
      </c>
      <c r="F113" s="477"/>
      <c r="G113" s="482" t="s">
        <v>1943</v>
      </c>
      <c r="H113" s="482">
        <v>1</v>
      </c>
      <c r="I113" s="580">
        <v>41943</v>
      </c>
      <c r="J113" s="580">
        <v>41943</v>
      </c>
      <c r="K113" s="581">
        <v>1620.51</v>
      </c>
      <c r="L113" s="581">
        <v>0</v>
      </c>
      <c r="M113" s="582"/>
      <c r="N113" s="582"/>
      <c r="O113" s="582"/>
      <c r="P113" s="582">
        <f t="shared" si="27"/>
        <v>1620.51</v>
      </c>
      <c r="Q113" s="582">
        <f t="shared" si="28"/>
        <v>0</v>
      </c>
      <c r="R113" s="583">
        <f t="shared" si="29"/>
        <v>0</v>
      </c>
      <c r="S113" s="584"/>
      <c r="T113" s="584"/>
      <c r="U113" s="585">
        <f t="shared" si="45"/>
        <v>0</v>
      </c>
      <c r="V113" s="586" t="str">
        <f t="shared" si="30"/>
        <v/>
      </c>
      <c r="W113" s="611" t="s">
        <v>2074</v>
      </c>
      <c r="X113" s="619">
        <f t="shared" si="44"/>
        <v>1896</v>
      </c>
      <c r="Y113" s="618"/>
      <c r="Z113" s="617">
        <v>0</v>
      </c>
      <c r="AA113" s="361">
        <f t="shared" si="31"/>
        <v>0</v>
      </c>
      <c r="AB113" s="597"/>
      <c r="AC113" s="485">
        <f t="shared" si="32"/>
        <v>0</v>
      </c>
      <c r="AD113" s="597"/>
      <c r="AE113" s="485">
        <f t="shared" si="33"/>
        <v>0</v>
      </c>
      <c r="AF113" s="508">
        <f t="shared" si="34"/>
        <v>0</v>
      </c>
      <c r="AG113" s="508">
        <f t="shared" si="35"/>
        <v>0</v>
      </c>
      <c r="AH113" s="508">
        <f t="shared" si="36"/>
        <v>0</v>
      </c>
      <c r="AI113" s="508">
        <f t="shared" si="37"/>
        <v>0</v>
      </c>
      <c r="AJ113" s="508">
        <f t="shared" si="38"/>
        <v>0</v>
      </c>
      <c r="AK113" s="508">
        <f t="shared" si="39"/>
        <v>0</v>
      </c>
      <c r="AL113" s="116">
        <v>6</v>
      </c>
      <c r="AM113" s="486">
        <f t="shared" si="40"/>
        <v>3.08</v>
      </c>
      <c r="AN113" s="117">
        <f t="shared" si="42"/>
        <v>3</v>
      </c>
      <c r="AO113" s="487">
        <f t="shared" si="41"/>
        <v>49</v>
      </c>
      <c r="AP113" s="509"/>
    </row>
    <row r="114" spans="1:47" ht="14.25" customHeight="1">
      <c r="A114" s="701">
        <v>108</v>
      </c>
      <c r="B114" s="477"/>
      <c r="C114" s="477" t="s">
        <v>1470</v>
      </c>
      <c r="D114" s="477"/>
      <c r="E114" s="475" t="s">
        <v>1453</v>
      </c>
      <c r="F114" s="477"/>
      <c r="G114" s="579" t="s">
        <v>1890</v>
      </c>
      <c r="H114" s="482">
        <v>1</v>
      </c>
      <c r="I114" s="580">
        <v>41943</v>
      </c>
      <c r="J114" s="580">
        <v>41943</v>
      </c>
      <c r="K114" s="581">
        <v>5128.21</v>
      </c>
      <c r="L114" s="581">
        <v>0</v>
      </c>
      <c r="M114" s="582"/>
      <c r="N114" s="582"/>
      <c r="O114" s="582"/>
      <c r="P114" s="582">
        <f t="shared" si="27"/>
        <v>5128.21</v>
      </c>
      <c r="Q114" s="582">
        <f t="shared" si="28"/>
        <v>0</v>
      </c>
      <c r="R114" s="583">
        <f t="shared" si="29"/>
        <v>0</v>
      </c>
      <c r="S114" s="584"/>
      <c r="T114" s="584"/>
      <c r="U114" s="585">
        <f t="shared" si="45"/>
        <v>0</v>
      </c>
      <c r="V114" s="586" t="str">
        <f t="shared" si="30"/>
        <v/>
      </c>
      <c r="W114" s="611" t="s">
        <v>2074</v>
      </c>
      <c r="X114" s="619">
        <f t="shared" si="44"/>
        <v>6000.01</v>
      </c>
      <c r="Y114" s="618"/>
      <c r="Z114" s="617">
        <v>0</v>
      </c>
      <c r="AA114" s="361">
        <f t="shared" si="31"/>
        <v>0</v>
      </c>
      <c r="AB114" s="597"/>
      <c r="AC114" s="485">
        <f t="shared" si="32"/>
        <v>0</v>
      </c>
      <c r="AD114" s="597"/>
      <c r="AE114" s="485">
        <f t="shared" si="33"/>
        <v>0</v>
      </c>
      <c r="AF114" s="508">
        <f t="shared" si="34"/>
        <v>0</v>
      </c>
      <c r="AG114" s="508">
        <f t="shared" si="35"/>
        <v>0</v>
      </c>
      <c r="AH114" s="508">
        <f t="shared" si="36"/>
        <v>0</v>
      </c>
      <c r="AI114" s="508">
        <f t="shared" si="37"/>
        <v>0</v>
      </c>
      <c r="AJ114" s="508">
        <f t="shared" si="38"/>
        <v>0</v>
      </c>
      <c r="AK114" s="508">
        <f t="shared" si="39"/>
        <v>0</v>
      </c>
      <c r="AL114" s="116">
        <v>6</v>
      </c>
      <c r="AM114" s="486">
        <f t="shared" si="40"/>
        <v>3.08</v>
      </c>
      <c r="AN114" s="117">
        <f t="shared" si="42"/>
        <v>3</v>
      </c>
      <c r="AO114" s="487">
        <f t="shared" si="41"/>
        <v>49</v>
      </c>
      <c r="AP114" s="509"/>
    </row>
    <row r="115" spans="1:47" ht="14.25" customHeight="1">
      <c r="A115" s="701">
        <v>109</v>
      </c>
      <c r="B115" s="477"/>
      <c r="C115" s="477" t="s">
        <v>1746</v>
      </c>
      <c r="D115" s="477"/>
      <c r="E115" s="475" t="s">
        <v>1453</v>
      </c>
      <c r="F115" s="477"/>
      <c r="G115" s="482" t="s">
        <v>1943</v>
      </c>
      <c r="H115" s="482">
        <v>1</v>
      </c>
      <c r="I115" s="580">
        <v>41943</v>
      </c>
      <c r="J115" s="580">
        <v>41943</v>
      </c>
      <c r="K115" s="581">
        <v>940.17</v>
      </c>
      <c r="L115" s="581">
        <v>0</v>
      </c>
      <c r="M115" s="582"/>
      <c r="N115" s="582"/>
      <c r="O115" s="582"/>
      <c r="P115" s="582">
        <f t="shared" si="27"/>
        <v>940.17</v>
      </c>
      <c r="Q115" s="582">
        <f t="shared" si="28"/>
        <v>0</v>
      </c>
      <c r="R115" s="583">
        <f t="shared" si="29"/>
        <v>900</v>
      </c>
      <c r="S115" s="668">
        <f t="shared" ref="S115:S120" si="46">AP115</f>
        <v>17</v>
      </c>
      <c r="T115" s="584"/>
      <c r="U115" s="585">
        <f>IF(S115="",R115,ROUND(R115*(S115-T115)/100,0))</f>
        <v>153</v>
      </c>
      <c r="V115" s="586" t="str">
        <f t="shared" si="30"/>
        <v/>
      </c>
      <c r="W115" s="477"/>
      <c r="X115" s="619">
        <f t="shared" si="44"/>
        <v>1100</v>
      </c>
      <c r="Y115" s="618"/>
      <c r="Z115" s="489">
        <v>1100</v>
      </c>
      <c r="AA115" s="361">
        <f t="shared" si="31"/>
        <v>940.17</v>
      </c>
      <c r="AB115" s="597"/>
      <c r="AC115" s="485">
        <f t="shared" si="32"/>
        <v>0</v>
      </c>
      <c r="AD115" s="597"/>
      <c r="AE115" s="485">
        <f t="shared" si="33"/>
        <v>0</v>
      </c>
      <c r="AF115" s="508">
        <f t="shared" si="34"/>
        <v>0</v>
      </c>
      <c r="AG115" s="508">
        <f t="shared" si="35"/>
        <v>0</v>
      </c>
      <c r="AH115" s="508">
        <f t="shared" si="36"/>
        <v>1100</v>
      </c>
      <c r="AI115" s="508">
        <f t="shared" si="37"/>
        <v>0</v>
      </c>
      <c r="AJ115" s="508">
        <f t="shared" si="38"/>
        <v>159.83000000000001</v>
      </c>
      <c r="AK115" s="508">
        <f t="shared" si="39"/>
        <v>900</v>
      </c>
      <c r="AL115" s="116">
        <v>6</v>
      </c>
      <c r="AM115" s="486">
        <f t="shared" si="40"/>
        <v>3.08</v>
      </c>
      <c r="AN115" s="117">
        <f t="shared" si="42"/>
        <v>3</v>
      </c>
      <c r="AO115" s="487">
        <f t="shared" si="41"/>
        <v>49</v>
      </c>
      <c r="AP115" s="509">
        <f t="shared" ref="AP115:AP120" si="47">AO115*AP$4</f>
        <v>17</v>
      </c>
    </row>
    <row r="116" spans="1:47" ht="14.25" customHeight="1">
      <c r="A116" s="701">
        <v>110</v>
      </c>
      <c r="B116" s="477"/>
      <c r="C116" s="477" t="s">
        <v>1699</v>
      </c>
      <c r="D116" s="477"/>
      <c r="E116" s="475" t="s">
        <v>1453</v>
      </c>
      <c r="F116" s="477"/>
      <c r="G116" s="579" t="s">
        <v>1971</v>
      </c>
      <c r="H116" s="482">
        <v>1</v>
      </c>
      <c r="I116" s="580">
        <v>41943</v>
      </c>
      <c r="J116" s="580">
        <v>41943</v>
      </c>
      <c r="K116" s="581">
        <v>800</v>
      </c>
      <c r="L116" s="581">
        <v>0</v>
      </c>
      <c r="M116" s="582"/>
      <c r="N116" s="582"/>
      <c r="O116" s="582"/>
      <c r="P116" s="582">
        <f t="shared" si="27"/>
        <v>800</v>
      </c>
      <c r="Q116" s="582">
        <f t="shared" si="28"/>
        <v>0</v>
      </c>
      <c r="R116" s="583">
        <f t="shared" si="29"/>
        <v>700</v>
      </c>
      <c r="S116" s="668">
        <f t="shared" si="46"/>
        <v>22</v>
      </c>
      <c r="T116" s="584"/>
      <c r="U116" s="585">
        <f>IF(S116="",R116,ROUND(R116*(S116-T116)/100,0))</f>
        <v>154</v>
      </c>
      <c r="V116" s="586" t="str">
        <f t="shared" si="30"/>
        <v/>
      </c>
      <c r="W116" s="477"/>
      <c r="X116" s="618">
        <f>P116/H116</f>
        <v>800</v>
      </c>
      <c r="Y116" s="618"/>
      <c r="Z116" s="489">
        <v>800</v>
      </c>
      <c r="AA116" s="361">
        <f t="shared" si="31"/>
        <v>683.76</v>
      </c>
      <c r="AB116" s="597"/>
      <c r="AC116" s="485">
        <f t="shared" si="32"/>
        <v>0</v>
      </c>
      <c r="AD116" s="597"/>
      <c r="AE116" s="485">
        <f t="shared" si="33"/>
        <v>0</v>
      </c>
      <c r="AF116" s="508">
        <f t="shared" si="34"/>
        <v>0</v>
      </c>
      <c r="AG116" s="508">
        <f t="shared" si="35"/>
        <v>0</v>
      </c>
      <c r="AH116" s="508">
        <f t="shared" si="36"/>
        <v>800</v>
      </c>
      <c r="AI116" s="508">
        <f t="shared" si="37"/>
        <v>0</v>
      </c>
      <c r="AJ116" s="508">
        <f t="shared" si="38"/>
        <v>116.24</v>
      </c>
      <c r="AK116" s="508">
        <f t="shared" si="39"/>
        <v>700</v>
      </c>
      <c r="AL116" s="116">
        <v>8</v>
      </c>
      <c r="AM116" s="486">
        <f t="shared" si="40"/>
        <v>3.08</v>
      </c>
      <c r="AN116" s="117">
        <f t="shared" si="42"/>
        <v>5</v>
      </c>
      <c r="AO116" s="487">
        <f t="shared" si="41"/>
        <v>62</v>
      </c>
      <c r="AP116" s="509">
        <f t="shared" si="47"/>
        <v>22</v>
      </c>
    </row>
    <row r="117" spans="1:47" ht="14.25" customHeight="1">
      <c r="A117" s="701">
        <v>111</v>
      </c>
      <c r="B117" s="477"/>
      <c r="C117" s="477" t="s">
        <v>1583</v>
      </c>
      <c r="D117" s="477"/>
      <c r="E117" s="475" t="s">
        <v>1453</v>
      </c>
      <c r="F117" s="477"/>
      <c r="G117" s="579" t="s">
        <v>1965</v>
      </c>
      <c r="H117" s="482">
        <v>1</v>
      </c>
      <c r="I117" s="580">
        <v>41943</v>
      </c>
      <c r="J117" s="580">
        <v>41943</v>
      </c>
      <c r="K117" s="581">
        <v>2649.57</v>
      </c>
      <c r="L117" s="581">
        <v>0</v>
      </c>
      <c r="M117" s="582"/>
      <c r="N117" s="582"/>
      <c r="O117" s="582"/>
      <c r="P117" s="582">
        <f t="shared" si="27"/>
        <v>2649.57</v>
      </c>
      <c r="Q117" s="582">
        <f t="shared" si="28"/>
        <v>0</v>
      </c>
      <c r="R117" s="583">
        <f t="shared" si="29"/>
        <v>2600</v>
      </c>
      <c r="S117" s="668">
        <f t="shared" si="46"/>
        <v>22</v>
      </c>
      <c r="T117" s="584"/>
      <c r="U117" s="585">
        <f>IF(S117="",R117,ROUND(R117*S117/100,0))</f>
        <v>572</v>
      </c>
      <c r="V117" s="586" t="str">
        <f t="shared" si="30"/>
        <v/>
      </c>
      <c r="W117" s="477"/>
      <c r="X117" s="619">
        <f t="shared" ref="X117:X143" si="48">P117*1.17/H117</f>
        <v>3100</v>
      </c>
      <c r="Y117" s="618"/>
      <c r="Z117" s="489">
        <v>3000</v>
      </c>
      <c r="AA117" s="361">
        <f t="shared" si="31"/>
        <v>2564.1</v>
      </c>
      <c r="AB117" s="597"/>
      <c r="AC117" s="485">
        <f t="shared" si="32"/>
        <v>0</v>
      </c>
      <c r="AD117" s="597"/>
      <c r="AE117" s="485">
        <f t="shared" si="33"/>
        <v>0</v>
      </c>
      <c r="AF117" s="508">
        <f t="shared" si="34"/>
        <v>0</v>
      </c>
      <c r="AG117" s="508">
        <f t="shared" si="35"/>
        <v>0</v>
      </c>
      <c r="AH117" s="508">
        <f t="shared" si="36"/>
        <v>3000</v>
      </c>
      <c r="AI117" s="508">
        <f t="shared" si="37"/>
        <v>0</v>
      </c>
      <c r="AJ117" s="508">
        <f t="shared" si="38"/>
        <v>435.9</v>
      </c>
      <c r="AK117" s="508">
        <f t="shared" si="39"/>
        <v>2600</v>
      </c>
      <c r="AL117" s="116">
        <v>8</v>
      </c>
      <c r="AM117" s="486">
        <f t="shared" si="40"/>
        <v>3.08</v>
      </c>
      <c r="AN117" s="117">
        <f t="shared" si="42"/>
        <v>5</v>
      </c>
      <c r="AO117" s="487">
        <f t="shared" si="41"/>
        <v>62</v>
      </c>
      <c r="AP117" s="509">
        <f t="shared" si="47"/>
        <v>22</v>
      </c>
    </row>
    <row r="118" spans="1:47" ht="14.25" customHeight="1">
      <c r="A118" s="701">
        <v>112</v>
      </c>
      <c r="B118" s="477"/>
      <c r="C118" s="477" t="s">
        <v>1630</v>
      </c>
      <c r="D118" s="477"/>
      <c r="E118" s="475" t="s">
        <v>1453</v>
      </c>
      <c r="F118" s="477"/>
      <c r="G118" s="482" t="s">
        <v>1943</v>
      </c>
      <c r="H118" s="482">
        <v>1</v>
      </c>
      <c r="I118" s="580">
        <v>41943</v>
      </c>
      <c r="J118" s="580">
        <v>41943</v>
      </c>
      <c r="K118" s="581">
        <v>2076.92</v>
      </c>
      <c r="L118" s="581">
        <v>0</v>
      </c>
      <c r="M118" s="582"/>
      <c r="N118" s="582"/>
      <c r="O118" s="582"/>
      <c r="P118" s="582">
        <f t="shared" si="27"/>
        <v>2076.92</v>
      </c>
      <c r="Q118" s="582">
        <f t="shared" si="28"/>
        <v>0</v>
      </c>
      <c r="R118" s="583">
        <f t="shared" si="29"/>
        <v>2100</v>
      </c>
      <c r="S118" s="668">
        <f t="shared" si="46"/>
        <v>22</v>
      </c>
      <c r="T118" s="584"/>
      <c r="U118" s="585">
        <f>IF(S118="",R118,ROUND(R118*(S118-T118)/100,0))</f>
        <v>462</v>
      </c>
      <c r="V118" s="586" t="str">
        <f t="shared" si="30"/>
        <v/>
      </c>
      <c r="W118" s="477"/>
      <c r="X118" s="619">
        <f t="shared" si="48"/>
        <v>2430</v>
      </c>
      <c r="Y118" s="618"/>
      <c r="Z118" s="489">
        <v>2400</v>
      </c>
      <c r="AA118" s="361">
        <f t="shared" si="31"/>
        <v>2051.2800000000002</v>
      </c>
      <c r="AB118" s="597"/>
      <c r="AC118" s="485">
        <f t="shared" si="32"/>
        <v>0</v>
      </c>
      <c r="AD118" s="597"/>
      <c r="AE118" s="485">
        <f t="shared" si="33"/>
        <v>0</v>
      </c>
      <c r="AF118" s="508">
        <f t="shared" si="34"/>
        <v>0</v>
      </c>
      <c r="AG118" s="508">
        <f t="shared" si="35"/>
        <v>0</v>
      </c>
      <c r="AH118" s="508">
        <f t="shared" si="36"/>
        <v>2400</v>
      </c>
      <c r="AI118" s="508">
        <f t="shared" si="37"/>
        <v>0</v>
      </c>
      <c r="AJ118" s="508">
        <f t="shared" si="38"/>
        <v>348.72</v>
      </c>
      <c r="AK118" s="508">
        <f t="shared" si="39"/>
        <v>2100</v>
      </c>
      <c r="AL118" s="116">
        <v>8</v>
      </c>
      <c r="AM118" s="486">
        <f t="shared" si="40"/>
        <v>3.08</v>
      </c>
      <c r="AN118" s="117">
        <f t="shared" si="42"/>
        <v>5</v>
      </c>
      <c r="AO118" s="487">
        <f t="shared" si="41"/>
        <v>62</v>
      </c>
      <c r="AP118" s="509">
        <f t="shared" si="47"/>
        <v>22</v>
      </c>
    </row>
    <row r="119" spans="1:47" ht="14.25" customHeight="1">
      <c r="A119" s="701">
        <v>113</v>
      </c>
      <c r="B119" s="477"/>
      <c r="C119" s="477" t="s">
        <v>1557</v>
      </c>
      <c r="D119" s="477"/>
      <c r="E119" s="475" t="s">
        <v>1453</v>
      </c>
      <c r="F119" s="477"/>
      <c r="G119" s="482" t="s">
        <v>1943</v>
      </c>
      <c r="H119" s="482">
        <v>1</v>
      </c>
      <c r="I119" s="580">
        <v>41943</v>
      </c>
      <c r="J119" s="580">
        <v>41943</v>
      </c>
      <c r="K119" s="581">
        <v>3247.86</v>
      </c>
      <c r="L119" s="581">
        <v>0</v>
      </c>
      <c r="M119" s="582"/>
      <c r="N119" s="582"/>
      <c r="O119" s="582"/>
      <c r="P119" s="582">
        <f t="shared" si="27"/>
        <v>3247.86</v>
      </c>
      <c r="Q119" s="582">
        <f t="shared" si="28"/>
        <v>0</v>
      </c>
      <c r="R119" s="583">
        <f t="shared" si="29"/>
        <v>3100</v>
      </c>
      <c r="S119" s="668">
        <f t="shared" si="46"/>
        <v>17</v>
      </c>
      <c r="T119" s="584"/>
      <c r="U119" s="585">
        <f>IF(S119="",R119,ROUND(R119*S119/100,0))</f>
        <v>527</v>
      </c>
      <c r="V119" s="586" t="str">
        <f t="shared" si="30"/>
        <v/>
      </c>
      <c r="W119" s="477"/>
      <c r="X119" s="619">
        <f t="shared" si="48"/>
        <v>3800</v>
      </c>
      <c r="Y119" s="618"/>
      <c r="Z119" s="489">
        <v>3600</v>
      </c>
      <c r="AA119" s="361">
        <f t="shared" si="31"/>
        <v>3076.92</v>
      </c>
      <c r="AB119" s="597"/>
      <c r="AC119" s="485">
        <f t="shared" si="32"/>
        <v>0</v>
      </c>
      <c r="AD119" s="597"/>
      <c r="AE119" s="485">
        <f t="shared" si="33"/>
        <v>0</v>
      </c>
      <c r="AF119" s="508">
        <f t="shared" si="34"/>
        <v>0</v>
      </c>
      <c r="AG119" s="508">
        <f t="shared" si="35"/>
        <v>0</v>
      </c>
      <c r="AH119" s="508">
        <f t="shared" si="36"/>
        <v>3600</v>
      </c>
      <c r="AI119" s="508">
        <f t="shared" si="37"/>
        <v>0</v>
      </c>
      <c r="AJ119" s="508">
        <f t="shared" si="38"/>
        <v>523.08000000000004</v>
      </c>
      <c r="AK119" s="508">
        <f t="shared" si="39"/>
        <v>3100</v>
      </c>
      <c r="AL119" s="116">
        <v>6</v>
      </c>
      <c r="AM119" s="486">
        <f t="shared" si="40"/>
        <v>3.08</v>
      </c>
      <c r="AN119" s="117">
        <f t="shared" si="42"/>
        <v>3</v>
      </c>
      <c r="AO119" s="487">
        <f t="shared" si="41"/>
        <v>49</v>
      </c>
      <c r="AP119" s="509">
        <f t="shared" si="47"/>
        <v>17</v>
      </c>
    </row>
    <row r="120" spans="1:47" ht="14.25" customHeight="1">
      <c r="A120" s="701">
        <v>114</v>
      </c>
      <c r="B120" s="477"/>
      <c r="C120" s="477" t="s">
        <v>1543</v>
      </c>
      <c r="D120" s="477"/>
      <c r="E120" s="475" t="s">
        <v>1453</v>
      </c>
      <c r="F120" s="477"/>
      <c r="G120" s="482" t="s">
        <v>1943</v>
      </c>
      <c r="H120" s="482">
        <v>1</v>
      </c>
      <c r="I120" s="580">
        <v>41943</v>
      </c>
      <c r="J120" s="580">
        <v>41943</v>
      </c>
      <c r="K120" s="581">
        <v>4188.03</v>
      </c>
      <c r="L120" s="581">
        <v>0</v>
      </c>
      <c r="M120" s="582"/>
      <c r="N120" s="582"/>
      <c r="O120" s="582"/>
      <c r="P120" s="582">
        <f t="shared" si="27"/>
        <v>4188.03</v>
      </c>
      <c r="Q120" s="582">
        <f t="shared" si="28"/>
        <v>0</v>
      </c>
      <c r="R120" s="583">
        <f t="shared" si="29"/>
        <v>4100</v>
      </c>
      <c r="S120" s="668">
        <f t="shared" si="46"/>
        <v>17</v>
      </c>
      <c r="T120" s="584"/>
      <c r="U120" s="585">
        <f>IF(S120="",R120,ROUND(R120*S120/100,0))</f>
        <v>697</v>
      </c>
      <c r="V120" s="586" t="str">
        <f t="shared" si="30"/>
        <v/>
      </c>
      <c r="W120" s="477"/>
      <c r="X120" s="619">
        <f t="shared" si="48"/>
        <v>4900</v>
      </c>
      <c r="Y120" s="618"/>
      <c r="Z120" s="489">
        <v>4800</v>
      </c>
      <c r="AA120" s="361">
        <f t="shared" si="31"/>
        <v>4102.5600000000004</v>
      </c>
      <c r="AB120" s="597"/>
      <c r="AC120" s="485">
        <f t="shared" si="32"/>
        <v>0</v>
      </c>
      <c r="AD120" s="597"/>
      <c r="AE120" s="485">
        <f t="shared" si="33"/>
        <v>0</v>
      </c>
      <c r="AF120" s="508">
        <f t="shared" si="34"/>
        <v>0</v>
      </c>
      <c r="AG120" s="508">
        <f t="shared" si="35"/>
        <v>0</v>
      </c>
      <c r="AH120" s="508">
        <f t="shared" si="36"/>
        <v>4800</v>
      </c>
      <c r="AI120" s="508">
        <f t="shared" si="37"/>
        <v>0</v>
      </c>
      <c r="AJ120" s="508">
        <f t="shared" si="38"/>
        <v>697.44</v>
      </c>
      <c r="AK120" s="508">
        <f t="shared" si="39"/>
        <v>4100</v>
      </c>
      <c r="AL120" s="116">
        <v>6</v>
      </c>
      <c r="AM120" s="486">
        <f t="shared" si="40"/>
        <v>3.08</v>
      </c>
      <c r="AN120" s="117">
        <f t="shared" ref="AN120:AN143" si="49">ROUND((AL120-AM120),0)</f>
        <v>3</v>
      </c>
      <c r="AO120" s="487">
        <f t="shared" si="41"/>
        <v>49</v>
      </c>
      <c r="AP120" s="509">
        <f t="shared" si="47"/>
        <v>17</v>
      </c>
    </row>
    <row r="121" spans="1:47" ht="14.25" customHeight="1">
      <c r="A121" s="701">
        <v>115</v>
      </c>
      <c r="B121" s="477"/>
      <c r="C121" s="477" t="s">
        <v>1760</v>
      </c>
      <c r="D121" s="477"/>
      <c r="E121" s="475" t="s">
        <v>1453</v>
      </c>
      <c r="F121" s="611" t="s">
        <v>2005</v>
      </c>
      <c r="G121" s="482" t="s">
        <v>1943</v>
      </c>
      <c r="H121" s="482">
        <v>1</v>
      </c>
      <c r="I121" s="580">
        <v>41757</v>
      </c>
      <c r="J121" s="580">
        <v>41757</v>
      </c>
      <c r="K121" s="581">
        <v>17521.37</v>
      </c>
      <c r="L121" s="581">
        <v>1025.6400000000001</v>
      </c>
      <c r="M121" s="582"/>
      <c r="N121" s="582"/>
      <c r="O121" s="582"/>
      <c r="P121" s="582">
        <f t="shared" si="27"/>
        <v>17521.37</v>
      </c>
      <c r="Q121" s="582">
        <f t="shared" si="28"/>
        <v>1025.6400000000001</v>
      </c>
      <c r="R121" s="583">
        <f t="shared" si="29"/>
        <v>100</v>
      </c>
      <c r="S121" s="584"/>
      <c r="T121" s="584">
        <v>3</v>
      </c>
      <c r="U121" s="585">
        <f t="shared" ref="U121:U128" si="50">ROUND(R121*(1-T121/100),0)</f>
        <v>97</v>
      </c>
      <c r="V121" s="586">
        <f t="shared" si="30"/>
        <v>-90.54</v>
      </c>
      <c r="W121" s="611" t="s">
        <v>2074</v>
      </c>
      <c r="X121" s="619">
        <f t="shared" si="48"/>
        <v>20500</v>
      </c>
      <c r="Y121" s="618"/>
      <c r="Z121" s="617">
        <v>100</v>
      </c>
      <c r="AA121" s="361">
        <f t="shared" si="31"/>
        <v>85.47</v>
      </c>
      <c r="AB121" s="597"/>
      <c r="AC121" s="485">
        <f t="shared" si="32"/>
        <v>0</v>
      </c>
      <c r="AD121" s="597"/>
      <c r="AE121" s="485">
        <f t="shared" si="33"/>
        <v>0</v>
      </c>
      <c r="AF121" s="508">
        <f t="shared" si="34"/>
        <v>0</v>
      </c>
      <c r="AG121" s="508">
        <f t="shared" si="35"/>
        <v>0</v>
      </c>
      <c r="AH121" s="508">
        <f t="shared" si="36"/>
        <v>100</v>
      </c>
      <c r="AI121" s="508">
        <f t="shared" si="37"/>
        <v>0</v>
      </c>
      <c r="AJ121" s="508">
        <f t="shared" si="38"/>
        <v>14.53</v>
      </c>
      <c r="AK121" s="508">
        <f t="shared" si="39"/>
        <v>100</v>
      </c>
      <c r="AM121" s="486">
        <f t="shared" si="40"/>
        <v>3.59</v>
      </c>
      <c r="AN121" s="117">
        <f t="shared" si="49"/>
        <v>-4</v>
      </c>
      <c r="AO121" s="487">
        <f t="shared" si="41"/>
        <v>976</v>
      </c>
      <c r="AP121" s="509"/>
    </row>
    <row r="122" spans="1:47" s="694" customFormat="1" ht="14.25" customHeight="1">
      <c r="A122" s="701">
        <v>116</v>
      </c>
      <c r="B122" s="477"/>
      <c r="C122" s="477" t="s">
        <v>1760</v>
      </c>
      <c r="D122" s="477"/>
      <c r="E122" s="475" t="s">
        <v>1453</v>
      </c>
      <c r="F122" s="611" t="s">
        <v>2005</v>
      </c>
      <c r="G122" s="482" t="s">
        <v>1943</v>
      </c>
      <c r="H122" s="482">
        <v>1</v>
      </c>
      <c r="I122" s="580">
        <v>41757</v>
      </c>
      <c r="J122" s="580">
        <v>41757</v>
      </c>
      <c r="K122" s="581">
        <v>17521.37</v>
      </c>
      <c r="L122" s="581">
        <v>1025.6400000000001</v>
      </c>
      <c r="M122" s="582"/>
      <c r="N122" s="582"/>
      <c r="O122" s="582"/>
      <c r="P122" s="582">
        <f t="shared" si="27"/>
        <v>17521.37</v>
      </c>
      <c r="Q122" s="582">
        <f t="shared" si="28"/>
        <v>1025.6400000000001</v>
      </c>
      <c r="R122" s="583">
        <f t="shared" si="29"/>
        <v>100</v>
      </c>
      <c r="S122" s="584"/>
      <c r="T122" s="584">
        <v>3</v>
      </c>
      <c r="U122" s="585">
        <f t="shared" si="50"/>
        <v>97</v>
      </c>
      <c r="V122" s="586">
        <f t="shared" si="30"/>
        <v>-90.54</v>
      </c>
      <c r="W122" s="611" t="s">
        <v>2074</v>
      </c>
      <c r="X122" s="619">
        <f t="shared" si="48"/>
        <v>20500</v>
      </c>
      <c r="Y122" s="618"/>
      <c r="Z122" s="617">
        <v>100</v>
      </c>
      <c r="AA122" s="361">
        <f t="shared" si="31"/>
        <v>85.47</v>
      </c>
      <c r="AB122" s="597"/>
      <c r="AC122" s="485">
        <f t="shared" si="32"/>
        <v>0</v>
      </c>
      <c r="AD122" s="597"/>
      <c r="AE122" s="485">
        <f t="shared" si="33"/>
        <v>0</v>
      </c>
      <c r="AF122" s="508">
        <f t="shared" si="34"/>
        <v>0</v>
      </c>
      <c r="AG122" s="508">
        <f t="shared" si="35"/>
        <v>0</v>
      </c>
      <c r="AH122" s="508">
        <f t="shared" si="36"/>
        <v>100</v>
      </c>
      <c r="AI122" s="508">
        <f t="shared" si="37"/>
        <v>0</v>
      </c>
      <c r="AJ122" s="508">
        <f t="shared" si="38"/>
        <v>14.53</v>
      </c>
      <c r="AK122" s="508">
        <f t="shared" si="39"/>
        <v>100</v>
      </c>
      <c r="AL122" s="116"/>
      <c r="AM122" s="486">
        <f t="shared" si="40"/>
        <v>3.59</v>
      </c>
      <c r="AN122" s="117">
        <f t="shared" si="49"/>
        <v>-4</v>
      </c>
      <c r="AO122" s="487">
        <f t="shared" si="41"/>
        <v>976</v>
      </c>
      <c r="AP122" s="509"/>
      <c r="AQ122" s="4"/>
      <c r="AR122" s="4"/>
      <c r="AS122" s="4"/>
      <c r="AT122" s="4"/>
      <c r="AU122" s="4"/>
    </row>
    <row r="123" spans="1:47" ht="14.25" customHeight="1">
      <c r="A123" s="701">
        <v>117</v>
      </c>
      <c r="B123" s="477"/>
      <c r="C123" s="477" t="s">
        <v>1760</v>
      </c>
      <c r="D123" s="477"/>
      <c r="E123" s="475" t="s">
        <v>1453</v>
      </c>
      <c r="F123" s="611" t="s">
        <v>2005</v>
      </c>
      <c r="G123" s="482" t="s">
        <v>1943</v>
      </c>
      <c r="H123" s="482">
        <v>1</v>
      </c>
      <c r="I123" s="580">
        <v>41757</v>
      </c>
      <c r="J123" s="580">
        <v>41757</v>
      </c>
      <c r="K123" s="581">
        <v>17521.37</v>
      </c>
      <c r="L123" s="581">
        <v>1025.6400000000001</v>
      </c>
      <c r="M123" s="582"/>
      <c r="N123" s="582"/>
      <c r="O123" s="582"/>
      <c r="P123" s="582">
        <f t="shared" si="27"/>
        <v>17521.37</v>
      </c>
      <c r="Q123" s="582">
        <f t="shared" si="28"/>
        <v>1025.6400000000001</v>
      </c>
      <c r="R123" s="583">
        <f t="shared" si="29"/>
        <v>100</v>
      </c>
      <c r="S123" s="584"/>
      <c r="T123" s="584">
        <v>3</v>
      </c>
      <c r="U123" s="585">
        <f t="shared" si="50"/>
        <v>97</v>
      </c>
      <c r="V123" s="586">
        <f t="shared" si="30"/>
        <v>-90.54</v>
      </c>
      <c r="W123" s="611" t="s">
        <v>2074</v>
      </c>
      <c r="X123" s="619">
        <f t="shared" si="48"/>
        <v>20500</v>
      </c>
      <c r="Y123" s="618"/>
      <c r="Z123" s="617">
        <v>100</v>
      </c>
      <c r="AA123" s="361">
        <f t="shared" si="31"/>
        <v>85.47</v>
      </c>
      <c r="AB123" s="597"/>
      <c r="AC123" s="485">
        <f t="shared" si="32"/>
        <v>0</v>
      </c>
      <c r="AD123" s="597"/>
      <c r="AE123" s="485">
        <f t="shared" si="33"/>
        <v>0</v>
      </c>
      <c r="AF123" s="508">
        <f t="shared" si="34"/>
        <v>0</v>
      </c>
      <c r="AG123" s="508">
        <f t="shared" si="35"/>
        <v>0</v>
      </c>
      <c r="AH123" s="508">
        <f t="shared" si="36"/>
        <v>100</v>
      </c>
      <c r="AI123" s="508">
        <f t="shared" si="37"/>
        <v>0</v>
      </c>
      <c r="AJ123" s="508">
        <f t="shared" si="38"/>
        <v>14.53</v>
      </c>
      <c r="AK123" s="508">
        <f t="shared" si="39"/>
        <v>100</v>
      </c>
      <c r="AM123" s="486">
        <f t="shared" si="40"/>
        <v>3.59</v>
      </c>
      <c r="AN123" s="117">
        <f t="shared" si="49"/>
        <v>-4</v>
      </c>
      <c r="AO123" s="487">
        <f t="shared" si="41"/>
        <v>976</v>
      </c>
      <c r="AP123" s="509"/>
    </row>
    <row r="124" spans="1:47" ht="14.25" customHeight="1">
      <c r="A124" s="701">
        <v>118</v>
      </c>
      <c r="B124" s="477"/>
      <c r="C124" s="477" t="s">
        <v>1579</v>
      </c>
      <c r="D124" s="477"/>
      <c r="E124" s="475" t="s">
        <v>1453</v>
      </c>
      <c r="F124" s="477"/>
      <c r="G124" s="482" t="s">
        <v>1943</v>
      </c>
      <c r="H124" s="482">
        <v>1</v>
      </c>
      <c r="I124" s="580">
        <v>42076</v>
      </c>
      <c r="J124" s="580">
        <v>42076</v>
      </c>
      <c r="K124" s="581">
        <v>63247.86</v>
      </c>
      <c r="L124" s="581">
        <v>5405.8</v>
      </c>
      <c r="M124" s="582"/>
      <c r="N124" s="582"/>
      <c r="O124" s="582"/>
      <c r="P124" s="582">
        <f t="shared" si="27"/>
        <v>63247.86</v>
      </c>
      <c r="Q124" s="582">
        <f t="shared" si="28"/>
        <v>5405.8</v>
      </c>
      <c r="R124" s="583">
        <f t="shared" si="29"/>
        <v>300</v>
      </c>
      <c r="S124" s="584"/>
      <c r="T124" s="584">
        <v>4</v>
      </c>
      <c r="U124" s="585">
        <f t="shared" si="50"/>
        <v>288</v>
      </c>
      <c r="V124" s="586">
        <f t="shared" si="30"/>
        <v>-94.67</v>
      </c>
      <c r="W124" s="611" t="s">
        <v>2076</v>
      </c>
      <c r="X124" s="619">
        <f t="shared" si="48"/>
        <v>74000</v>
      </c>
      <c r="Y124" s="618"/>
      <c r="Z124" s="617">
        <v>400</v>
      </c>
      <c r="AA124" s="361">
        <f t="shared" si="31"/>
        <v>341.88</v>
      </c>
      <c r="AB124" s="597"/>
      <c r="AC124" s="485">
        <f t="shared" si="32"/>
        <v>0</v>
      </c>
      <c r="AD124" s="597"/>
      <c r="AE124" s="485">
        <f t="shared" si="33"/>
        <v>0</v>
      </c>
      <c r="AF124" s="508">
        <f t="shared" si="34"/>
        <v>0</v>
      </c>
      <c r="AG124" s="508">
        <f t="shared" si="35"/>
        <v>0</v>
      </c>
      <c r="AH124" s="508">
        <f t="shared" si="36"/>
        <v>400</v>
      </c>
      <c r="AI124" s="508">
        <f t="shared" si="37"/>
        <v>0</v>
      </c>
      <c r="AJ124" s="508">
        <f t="shared" si="38"/>
        <v>58.12</v>
      </c>
      <c r="AK124" s="508">
        <f t="shared" si="39"/>
        <v>300</v>
      </c>
      <c r="AL124" s="116">
        <v>10</v>
      </c>
      <c r="AM124" s="486">
        <f t="shared" si="40"/>
        <v>2.72</v>
      </c>
      <c r="AN124" s="117">
        <f t="shared" si="49"/>
        <v>7</v>
      </c>
      <c r="AO124" s="487">
        <f t="shared" si="41"/>
        <v>72</v>
      </c>
      <c r="AP124" s="509"/>
    </row>
    <row r="125" spans="1:47" ht="14.25" customHeight="1">
      <c r="A125" s="701">
        <v>119</v>
      </c>
      <c r="B125" s="477"/>
      <c r="C125" s="611" t="s">
        <v>1790</v>
      </c>
      <c r="D125" s="477" t="s">
        <v>1243</v>
      </c>
      <c r="E125" s="475" t="s">
        <v>1453</v>
      </c>
      <c r="F125" s="477"/>
      <c r="G125" s="579" t="s">
        <v>1963</v>
      </c>
      <c r="H125" s="482">
        <v>1</v>
      </c>
      <c r="I125" s="580">
        <v>42368</v>
      </c>
      <c r="J125" s="580">
        <v>42368</v>
      </c>
      <c r="K125" s="581">
        <v>252136.75</v>
      </c>
      <c r="L125" s="581">
        <v>3418.8</v>
      </c>
      <c r="M125" s="582"/>
      <c r="N125" s="582"/>
      <c r="O125" s="582"/>
      <c r="P125" s="582">
        <f t="shared" si="27"/>
        <v>252136.75</v>
      </c>
      <c r="Q125" s="582">
        <f t="shared" si="28"/>
        <v>3418.8</v>
      </c>
      <c r="R125" s="583">
        <f t="shared" si="29"/>
        <v>2600</v>
      </c>
      <c r="S125" s="584"/>
      <c r="T125" s="584">
        <v>4</v>
      </c>
      <c r="U125" s="585">
        <f t="shared" si="50"/>
        <v>2496</v>
      </c>
      <c r="V125" s="586">
        <f t="shared" si="30"/>
        <v>-26.99</v>
      </c>
      <c r="W125" s="611" t="s">
        <v>2074</v>
      </c>
      <c r="X125" s="619">
        <f t="shared" si="48"/>
        <v>295000</v>
      </c>
      <c r="Y125" s="618"/>
      <c r="Z125" s="617">
        <v>3000</v>
      </c>
      <c r="AA125" s="361">
        <f t="shared" si="31"/>
        <v>2564.1</v>
      </c>
      <c r="AB125" s="597"/>
      <c r="AC125" s="485">
        <f t="shared" si="32"/>
        <v>0</v>
      </c>
      <c r="AD125" s="597"/>
      <c r="AE125" s="485">
        <f t="shared" si="33"/>
        <v>0</v>
      </c>
      <c r="AF125" s="508">
        <f t="shared" si="34"/>
        <v>0</v>
      </c>
      <c r="AG125" s="508">
        <f t="shared" si="35"/>
        <v>0</v>
      </c>
      <c r="AH125" s="508">
        <f t="shared" si="36"/>
        <v>3000</v>
      </c>
      <c r="AI125" s="508">
        <f t="shared" si="37"/>
        <v>0</v>
      </c>
      <c r="AJ125" s="508">
        <f t="shared" si="38"/>
        <v>435.9</v>
      </c>
      <c r="AK125" s="508">
        <f t="shared" si="39"/>
        <v>2600</v>
      </c>
      <c r="AL125" s="116">
        <v>12</v>
      </c>
      <c r="AM125" s="486">
        <f t="shared" si="40"/>
        <v>1.92</v>
      </c>
      <c r="AN125" s="117">
        <f t="shared" si="49"/>
        <v>10</v>
      </c>
      <c r="AO125" s="487">
        <f t="shared" si="41"/>
        <v>84</v>
      </c>
      <c r="AP125" s="509"/>
      <c r="AS125" s="694"/>
      <c r="AT125" s="694"/>
      <c r="AU125" s="694"/>
    </row>
    <row r="126" spans="1:47" ht="14.25" customHeight="1">
      <c r="A126" s="701">
        <v>120</v>
      </c>
      <c r="B126" s="477"/>
      <c r="C126" s="477" t="s">
        <v>1714</v>
      </c>
      <c r="D126" s="477" t="s">
        <v>1244</v>
      </c>
      <c r="E126" s="475" t="s">
        <v>1453</v>
      </c>
      <c r="F126" s="477" t="s">
        <v>2012</v>
      </c>
      <c r="G126" s="579" t="s">
        <v>1963</v>
      </c>
      <c r="H126" s="482">
        <v>1</v>
      </c>
      <c r="I126" s="580">
        <v>42368</v>
      </c>
      <c r="J126" s="580">
        <v>42368</v>
      </c>
      <c r="K126" s="616">
        <f>98290.6+11611.1</f>
        <v>109901.7</v>
      </c>
      <c r="L126" s="616">
        <f>8400.91+992.4</f>
        <v>9393.31</v>
      </c>
      <c r="M126" s="582"/>
      <c r="N126" s="582"/>
      <c r="O126" s="582"/>
      <c r="P126" s="582">
        <f t="shared" si="27"/>
        <v>109901.7</v>
      </c>
      <c r="Q126" s="582">
        <f t="shared" si="28"/>
        <v>9393.31</v>
      </c>
      <c r="R126" s="583">
        <f t="shared" si="29"/>
        <v>0</v>
      </c>
      <c r="S126" s="584"/>
      <c r="T126" s="584"/>
      <c r="U126" s="585">
        <f t="shared" si="50"/>
        <v>0</v>
      </c>
      <c r="V126" s="586">
        <f t="shared" si="30"/>
        <v>-100</v>
      </c>
      <c r="W126" s="611" t="s">
        <v>2074</v>
      </c>
      <c r="X126" s="619">
        <f t="shared" si="48"/>
        <v>128584.99</v>
      </c>
      <c r="Y126" s="618"/>
      <c r="Z126" s="617">
        <v>0</v>
      </c>
      <c r="AA126" s="361">
        <f t="shared" si="31"/>
        <v>0</v>
      </c>
      <c r="AB126" s="597"/>
      <c r="AC126" s="485">
        <f t="shared" si="32"/>
        <v>0</v>
      </c>
      <c r="AD126" s="597"/>
      <c r="AE126" s="485">
        <f t="shared" si="33"/>
        <v>0</v>
      </c>
      <c r="AF126" s="508">
        <f t="shared" si="34"/>
        <v>0</v>
      </c>
      <c r="AG126" s="508">
        <f t="shared" si="35"/>
        <v>0</v>
      </c>
      <c r="AH126" s="508">
        <f t="shared" si="36"/>
        <v>0</v>
      </c>
      <c r="AI126" s="508">
        <f t="shared" si="37"/>
        <v>0</v>
      </c>
      <c r="AJ126" s="508">
        <f t="shared" si="38"/>
        <v>0</v>
      </c>
      <c r="AK126" s="508">
        <f t="shared" si="39"/>
        <v>0</v>
      </c>
      <c r="AM126" s="486">
        <f t="shared" si="40"/>
        <v>1.92</v>
      </c>
      <c r="AN126" s="117">
        <f t="shared" si="49"/>
        <v>-2</v>
      </c>
      <c r="AO126" s="487">
        <f t="shared" si="41"/>
        <v>2500</v>
      </c>
      <c r="AP126" s="509"/>
    </row>
    <row r="127" spans="1:47" ht="14.25" customHeight="1">
      <c r="A127" s="701">
        <v>121</v>
      </c>
      <c r="B127" s="477"/>
      <c r="C127" s="477" t="s">
        <v>1648</v>
      </c>
      <c r="D127" s="477" t="s">
        <v>1245</v>
      </c>
      <c r="E127" s="475" t="s">
        <v>1453</v>
      </c>
      <c r="F127" s="477"/>
      <c r="G127" s="482" t="s">
        <v>1943</v>
      </c>
      <c r="H127" s="482">
        <v>1</v>
      </c>
      <c r="I127" s="580">
        <v>42368</v>
      </c>
      <c r="J127" s="580">
        <v>42368</v>
      </c>
      <c r="K127" s="581">
        <v>31247.86</v>
      </c>
      <c r="L127" s="581">
        <v>683.76</v>
      </c>
      <c r="M127" s="582"/>
      <c r="N127" s="582"/>
      <c r="O127" s="582"/>
      <c r="P127" s="582">
        <f t="shared" si="27"/>
        <v>31247.86</v>
      </c>
      <c r="Q127" s="582">
        <f t="shared" si="28"/>
        <v>683.76</v>
      </c>
      <c r="R127" s="583">
        <f t="shared" si="29"/>
        <v>100</v>
      </c>
      <c r="S127" s="584"/>
      <c r="T127" s="584"/>
      <c r="U127" s="585">
        <f t="shared" si="50"/>
        <v>100</v>
      </c>
      <c r="V127" s="586">
        <f t="shared" si="30"/>
        <v>-85.37</v>
      </c>
      <c r="W127" s="611" t="s">
        <v>2074</v>
      </c>
      <c r="X127" s="619">
        <f t="shared" si="48"/>
        <v>36560</v>
      </c>
      <c r="Y127" s="618"/>
      <c r="Z127" s="617">
        <v>100</v>
      </c>
      <c r="AA127" s="361">
        <f t="shared" si="31"/>
        <v>85.47</v>
      </c>
      <c r="AB127" s="597"/>
      <c r="AC127" s="485">
        <f t="shared" si="32"/>
        <v>0</v>
      </c>
      <c r="AD127" s="597"/>
      <c r="AE127" s="485">
        <f t="shared" si="33"/>
        <v>0</v>
      </c>
      <c r="AF127" s="508">
        <f t="shared" si="34"/>
        <v>0</v>
      </c>
      <c r="AG127" s="508">
        <f t="shared" si="35"/>
        <v>0</v>
      </c>
      <c r="AH127" s="508">
        <f t="shared" si="36"/>
        <v>100</v>
      </c>
      <c r="AI127" s="508">
        <f t="shared" si="37"/>
        <v>0</v>
      </c>
      <c r="AJ127" s="508">
        <f t="shared" si="38"/>
        <v>14.53</v>
      </c>
      <c r="AK127" s="508">
        <f t="shared" si="39"/>
        <v>100</v>
      </c>
      <c r="AL127" s="116">
        <v>6</v>
      </c>
      <c r="AM127" s="486">
        <f t="shared" si="40"/>
        <v>1.92</v>
      </c>
      <c r="AN127" s="117">
        <f t="shared" si="49"/>
        <v>4</v>
      </c>
      <c r="AO127" s="487">
        <f t="shared" si="41"/>
        <v>68</v>
      </c>
      <c r="AP127" s="509"/>
    </row>
    <row r="128" spans="1:47" ht="14.25" customHeight="1">
      <c r="A128" s="701">
        <v>122</v>
      </c>
      <c r="B128" s="477"/>
      <c r="C128" s="477" t="s">
        <v>1718</v>
      </c>
      <c r="D128" s="477" t="s">
        <v>1246</v>
      </c>
      <c r="E128" s="475" t="s">
        <v>1453</v>
      </c>
      <c r="F128" s="477"/>
      <c r="G128" s="482" t="s">
        <v>1943</v>
      </c>
      <c r="H128" s="482">
        <v>1</v>
      </c>
      <c r="I128" s="580">
        <v>42368</v>
      </c>
      <c r="J128" s="580">
        <v>42368</v>
      </c>
      <c r="K128" s="581">
        <v>13306.84</v>
      </c>
      <c r="L128" s="581">
        <v>1137.3399999999999</v>
      </c>
      <c r="M128" s="582"/>
      <c r="N128" s="582"/>
      <c r="O128" s="582"/>
      <c r="P128" s="582">
        <f t="shared" si="27"/>
        <v>13306.84</v>
      </c>
      <c r="Q128" s="582">
        <f t="shared" si="28"/>
        <v>1137.3399999999999</v>
      </c>
      <c r="R128" s="583">
        <f t="shared" si="29"/>
        <v>100</v>
      </c>
      <c r="S128" s="584"/>
      <c r="T128" s="584">
        <v>3</v>
      </c>
      <c r="U128" s="585">
        <f t="shared" si="50"/>
        <v>97</v>
      </c>
      <c r="V128" s="586">
        <f t="shared" si="30"/>
        <v>-91.47</v>
      </c>
      <c r="W128" s="611" t="s">
        <v>2074</v>
      </c>
      <c r="X128" s="619">
        <f t="shared" si="48"/>
        <v>15569</v>
      </c>
      <c r="Y128" s="618"/>
      <c r="Z128" s="617">
        <v>100</v>
      </c>
      <c r="AA128" s="361">
        <f t="shared" si="31"/>
        <v>85.47</v>
      </c>
      <c r="AB128" s="597"/>
      <c r="AC128" s="485">
        <f t="shared" si="32"/>
        <v>0</v>
      </c>
      <c r="AD128" s="597"/>
      <c r="AE128" s="485">
        <f t="shared" si="33"/>
        <v>0</v>
      </c>
      <c r="AF128" s="508">
        <f t="shared" si="34"/>
        <v>0</v>
      </c>
      <c r="AG128" s="508">
        <f t="shared" si="35"/>
        <v>0</v>
      </c>
      <c r="AH128" s="508">
        <f t="shared" si="36"/>
        <v>100</v>
      </c>
      <c r="AI128" s="508">
        <f t="shared" si="37"/>
        <v>0</v>
      </c>
      <c r="AJ128" s="508">
        <f t="shared" si="38"/>
        <v>14.53</v>
      </c>
      <c r="AK128" s="508">
        <f t="shared" si="39"/>
        <v>100</v>
      </c>
      <c r="AM128" s="486">
        <f t="shared" si="40"/>
        <v>1.92</v>
      </c>
      <c r="AN128" s="117">
        <f t="shared" si="49"/>
        <v>-2</v>
      </c>
      <c r="AO128" s="487">
        <f t="shared" si="41"/>
        <v>2500</v>
      </c>
      <c r="AP128" s="509"/>
    </row>
    <row r="129" spans="1:42" ht="14.25" customHeight="1">
      <c r="A129" s="701">
        <v>123</v>
      </c>
      <c r="B129" s="477"/>
      <c r="C129" s="477" t="s">
        <v>1771</v>
      </c>
      <c r="D129" s="477" t="s">
        <v>1247</v>
      </c>
      <c r="E129" s="475" t="s">
        <v>1453</v>
      </c>
      <c r="F129" s="611" t="s">
        <v>2013</v>
      </c>
      <c r="G129" s="482" t="s">
        <v>1943</v>
      </c>
      <c r="H129" s="482">
        <v>1</v>
      </c>
      <c r="I129" s="580">
        <v>42368</v>
      </c>
      <c r="J129" s="580">
        <v>42368</v>
      </c>
      <c r="K129" s="581">
        <v>58132.3</v>
      </c>
      <c r="L129" s="581">
        <v>54208.39</v>
      </c>
      <c r="M129" s="582"/>
      <c r="N129" s="582"/>
      <c r="O129" s="582"/>
      <c r="P129" s="582">
        <f t="shared" si="27"/>
        <v>58132.3</v>
      </c>
      <c r="Q129" s="582">
        <f t="shared" si="28"/>
        <v>54208.39</v>
      </c>
      <c r="R129" s="583">
        <f t="shared" si="29"/>
        <v>53500</v>
      </c>
      <c r="S129" s="668">
        <f>AP129</f>
        <v>28</v>
      </c>
      <c r="T129" s="584">
        <v>5</v>
      </c>
      <c r="U129" s="585">
        <f>IF(S129="",R129,ROUND(R129*(S129-T129)/100,0))</f>
        <v>12305</v>
      </c>
      <c r="V129" s="586">
        <f t="shared" si="30"/>
        <v>-77.3</v>
      </c>
      <c r="W129" s="477"/>
      <c r="X129" s="619">
        <f t="shared" si="48"/>
        <v>68014.789999999994</v>
      </c>
      <c r="Y129" s="618"/>
      <c r="Z129" s="489">
        <v>62600</v>
      </c>
      <c r="AA129" s="361">
        <f t="shared" si="31"/>
        <v>53504.27</v>
      </c>
      <c r="AB129" s="597"/>
      <c r="AC129" s="485">
        <f t="shared" si="32"/>
        <v>0</v>
      </c>
      <c r="AD129" s="597"/>
      <c r="AE129" s="485">
        <f t="shared" si="33"/>
        <v>0</v>
      </c>
      <c r="AF129" s="508">
        <f t="shared" si="34"/>
        <v>0</v>
      </c>
      <c r="AG129" s="508">
        <f t="shared" si="35"/>
        <v>0</v>
      </c>
      <c r="AH129" s="508">
        <f t="shared" si="36"/>
        <v>62600</v>
      </c>
      <c r="AI129" s="508">
        <f t="shared" si="37"/>
        <v>0</v>
      </c>
      <c r="AJ129" s="508">
        <f t="shared" si="38"/>
        <v>9095.73</v>
      </c>
      <c r="AK129" s="508">
        <f t="shared" si="39"/>
        <v>53500</v>
      </c>
      <c r="AL129" s="116">
        <v>10</v>
      </c>
      <c r="AM129" s="486">
        <f t="shared" si="40"/>
        <v>1.92</v>
      </c>
      <c r="AN129" s="117">
        <f t="shared" si="49"/>
        <v>8</v>
      </c>
      <c r="AO129" s="487">
        <f t="shared" si="41"/>
        <v>81</v>
      </c>
      <c r="AP129" s="509">
        <f>AO129*AP$4</f>
        <v>28</v>
      </c>
    </row>
    <row r="130" spans="1:42" ht="14.25" customHeight="1">
      <c r="A130" s="701">
        <v>124</v>
      </c>
      <c r="B130" s="477"/>
      <c r="C130" s="477" t="s">
        <v>1639</v>
      </c>
      <c r="D130" s="477" t="s">
        <v>1248</v>
      </c>
      <c r="E130" s="475" t="s">
        <v>1453</v>
      </c>
      <c r="F130" s="611" t="s">
        <v>2014</v>
      </c>
      <c r="G130" s="482" t="s">
        <v>1943</v>
      </c>
      <c r="H130" s="482">
        <v>1</v>
      </c>
      <c r="I130" s="580">
        <v>42368</v>
      </c>
      <c r="J130" s="580">
        <v>42368</v>
      </c>
      <c r="K130" s="581">
        <v>23629.87</v>
      </c>
      <c r="L130" s="581">
        <v>22034.89</v>
      </c>
      <c r="M130" s="582"/>
      <c r="N130" s="582"/>
      <c r="O130" s="582"/>
      <c r="P130" s="582">
        <f t="shared" si="27"/>
        <v>23629.87</v>
      </c>
      <c r="Q130" s="582">
        <f t="shared" si="28"/>
        <v>22034.89</v>
      </c>
      <c r="R130" s="583">
        <f t="shared" si="29"/>
        <v>300</v>
      </c>
      <c r="S130" s="584"/>
      <c r="T130" s="584">
        <v>3</v>
      </c>
      <c r="U130" s="585">
        <f>ROUND(R130*(1-T130/100),0)</f>
        <v>291</v>
      </c>
      <c r="V130" s="586">
        <f t="shared" si="30"/>
        <v>-98.68</v>
      </c>
      <c r="W130" s="611" t="s">
        <v>2074</v>
      </c>
      <c r="X130" s="619">
        <f t="shared" si="48"/>
        <v>27646.95</v>
      </c>
      <c r="Y130" s="618"/>
      <c r="Z130" s="617">
        <v>300</v>
      </c>
      <c r="AA130" s="361">
        <f t="shared" si="31"/>
        <v>256.41000000000003</v>
      </c>
      <c r="AB130" s="597"/>
      <c r="AC130" s="485">
        <f t="shared" si="32"/>
        <v>0</v>
      </c>
      <c r="AD130" s="597"/>
      <c r="AE130" s="485">
        <f t="shared" si="33"/>
        <v>0</v>
      </c>
      <c r="AF130" s="508">
        <f t="shared" si="34"/>
        <v>0</v>
      </c>
      <c r="AG130" s="508">
        <f t="shared" si="35"/>
        <v>0</v>
      </c>
      <c r="AH130" s="508">
        <f t="shared" si="36"/>
        <v>300</v>
      </c>
      <c r="AI130" s="508">
        <f t="shared" si="37"/>
        <v>0</v>
      </c>
      <c r="AJ130" s="508">
        <f t="shared" si="38"/>
        <v>43.59</v>
      </c>
      <c r="AK130" s="508">
        <f t="shared" si="39"/>
        <v>300</v>
      </c>
      <c r="AM130" s="486">
        <f t="shared" si="40"/>
        <v>1.92</v>
      </c>
      <c r="AN130" s="117">
        <f t="shared" si="49"/>
        <v>-2</v>
      </c>
      <c r="AO130" s="487">
        <f t="shared" si="41"/>
        <v>2500</v>
      </c>
      <c r="AP130" s="509"/>
    </row>
    <row r="131" spans="1:42" ht="14.25" customHeight="1">
      <c r="A131" s="701">
        <v>125</v>
      </c>
      <c r="B131" s="477"/>
      <c r="C131" s="477" t="s">
        <v>1489</v>
      </c>
      <c r="D131" s="477" t="s">
        <v>1249</v>
      </c>
      <c r="E131" s="475" t="s">
        <v>1453</v>
      </c>
      <c r="F131" s="477"/>
      <c r="G131" s="482" t="s">
        <v>1943</v>
      </c>
      <c r="H131" s="482">
        <v>1</v>
      </c>
      <c r="I131" s="580">
        <v>42368</v>
      </c>
      <c r="J131" s="580">
        <v>42368</v>
      </c>
      <c r="K131" s="581">
        <v>11827.57</v>
      </c>
      <c r="L131" s="581">
        <v>9609.75</v>
      </c>
      <c r="M131" s="582"/>
      <c r="N131" s="582"/>
      <c r="O131" s="582"/>
      <c r="P131" s="582">
        <f t="shared" si="27"/>
        <v>11827.57</v>
      </c>
      <c r="Q131" s="582">
        <f t="shared" si="28"/>
        <v>9609.75</v>
      </c>
      <c r="R131" s="583">
        <f t="shared" si="29"/>
        <v>10900</v>
      </c>
      <c r="S131" s="668">
        <f>AP131</f>
        <v>28</v>
      </c>
      <c r="T131" s="584">
        <v>5</v>
      </c>
      <c r="U131" s="585">
        <f>IF(S131="",R131,ROUND(R131*(S131-T131)/100,0))</f>
        <v>2507</v>
      </c>
      <c r="V131" s="586">
        <f t="shared" si="30"/>
        <v>-73.91</v>
      </c>
      <c r="W131" s="477"/>
      <c r="X131" s="619">
        <f t="shared" si="48"/>
        <v>13838.26</v>
      </c>
      <c r="Y131" s="618"/>
      <c r="Z131" s="489">
        <v>12700</v>
      </c>
      <c r="AA131" s="361">
        <f t="shared" si="31"/>
        <v>10854.7</v>
      </c>
      <c r="AB131" s="597"/>
      <c r="AC131" s="485">
        <f t="shared" si="32"/>
        <v>0</v>
      </c>
      <c r="AD131" s="597"/>
      <c r="AE131" s="485">
        <f t="shared" si="33"/>
        <v>0</v>
      </c>
      <c r="AF131" s="508">
        <f t="shared" si="34"/>
        <v>0</v>
      </c>
      <c r="AG131" s="508">
        <f t="shared" si="35"/>
        <v>0</v>
      </c>
      <c r="AH131" s="508">
        <f t="shared" si="36"/>
        <v>12700</v>
      </c>
      <c r="AI131" s="508">
        <f t="shared" si="37"/>
        <v>0</v>
      </c>
      <c r="AJ131" s="508">
        <f t="shared" si="38"/>
        <v>1845.3</v>
      </c>
      <c r="AK131" s="508">
        <f t="shared" si="39"/>
        <v>10900</v>
      </c>
      <c r="AL131" s="116">
        <v>10</v>
      </c>
      <c r="AM131" s="486">
        <f t="shared" si="40"/>
        <v>1.92</v>
      </c>
      <c r="AN131" s="117">
        <f t="shared" si="49"/>
        <v>8</v>
      </c>
      <c r="AO131" s="487">
        <f t="shared" si="41"/>
        <v>81</v>
      </c>
      <c r="AP131" s="509">
        <f>AO131*AP$4</f>
        <v>28</v>
      </c>
    </row>
    <row r="132" spans="1:42" ht="14.25" customHeight="1">
      <c r="A132" s="701">
        <v>126</v>
      </c>
      <c r="B132" s="477"/>
      <c r="C132" s="611" t="s">
        <v>2316</v>
      </c>
      <c r="D132" s="477" t="s">
        <v>1250</v>
      </c>
      <c r="E132" s="475" t="s">
        <v>1453</v>
      </c>
      <c r="F132" s="611" t="s">
        <v>2015</v>
      </c>
      <c r="G132" s="482" t="s">
        <v>1943</v>
      </c>
      <c r="H132" s="482">
        <v>1</v>
      </c>
      <c r="I132" s="580">
        <v>42368</v>
      </c>
      <c r="J132" s="580">
        <v>42368</v>
      </c>
      <c r="K132" s="616">
        <v>1026935.22</v>
      </c>
      <c r="L132" s="616">
        <v>87772.24</v>
      </c>
      <c r="M132" s="704" t="s">
        <v>2346</v>
      </c>
      <c r="N132" s="582"/>
      <c r="O132" s="582"/>
      <c r="P132" s="582">
        <f t="shared" si="27"/>
        <v>1026935.22</v>
      </c>
      <c r="Q132" s="582">
        <f t="shared" si="28"/>
        <v>87772.24</v>
      </c>
      <c r="R132" s="583">
        <f t="shared" si="29"/>
        <v>726500</v>
      </c>
      <c r="S132" s="668">
        <f>AP132</f>
        <v>25</v>
      </c>
      <c r="T132" s="584">
        <v>3</v>
      </c>
      <c r="U132" s="585">
        <f>IF(S132="",R132,ROUND(R132*(S132-T132)/100,0))</f>
        <v>159830</v>
      </c>
      <c r="V132" s="586">
        <f t="shared" si="30"/>
        <v>82.1</v>
      </c>
      <c r="W132" s="477"/>
      <c r="X132" s="619">
        <f t="shared" si="48"/>
        <v>1201514.21</v>
      </c>
      <c r="Y132" s="618"/>
      <c r="Z132" s="624">
        <v>850000</v>
      </c>
      <c r="AA132" s="361">
        <f t="shared" si="31"/>
        <v>726495.73</v>
      </c>
      <c r="AB132" s="597"/>
      <c r="AC132" s="485">
        <f t="shared" si="32"/>
        <v>0</v>
      </c>
      <c r="AD132" s="597"/>
      <c r="AE132" s="485">
        <f t="shared" si="33"/>
        <v>0</v>
      </c>
      <c r="AF132" s="508">
        <f t="shared" si="34"/>
        <v>0</v>
      </c>
      <c r="AG132" s="508">
        <f t="shared" si="35"/>
        <v>0</v>
      </c>
      <c r="AH132" s="508">
        <f t="shared" si="36"/>
        <v>850000</v>
      </c>
      <c r="AI132" s="508">
        <f t="shared" si="37"/>
        <v>0</v>
      </c>
      <c r="AJ132" s="508">
        <f t="shared" si="38"/>
        <v>123504.27</v>
      </c>
      <c r="AK132" s="508">
        <f t="shared" si="39"/>
        <v>726500</v>
      </c>
      <c r="AL132" s="116">
        <v>12</v>
      </c>
      <c r="AM132" s="486">
        <f t="shared" si="40"/>
        <v>1.92</v>
      </c>
      <c r="AN132" s="117">
        <f t="shared" si="49"/>
        <v>10</v>
      </c>
      <c r="AO132" s="487">
        <f t="shared" si="41"/>
        <v>84</v>
      </c>
      <c r="AP132" s="509">
        <v>25</v>
      </c>
    </row>
    <row r="133" spans="1:42" ht="14.25" customHeight="1">
      <c r="A133" s="701">
        <v>127</v>
      </c>
      <c r="B133" s="477"/>
      <c r="C133" s="477" t="s">
        <v>1598</v>
      </c>
      <c r="D133" s="477" t="s">
        <v>1251</v>
      </c>
      <c r="E133" s="475" t="s">
        <v>1453</v>
      </c>
      <c r="F133" s="477"/>
      <c r="G133" s="482" t="s">
        <v>1943</v>
      </c>
      <c r="H133" s="482">
        <v>1</v>
      </c>
      <c r="I133" s="580">
        <v>42368</v>
      </c>
      <c r="J133" s="580">
        <v>42368</v>
      </c>
      <c r="K133" s="581">
        <v>9401.7099999999991</v>
      </c>
      <c r="L133" s="581">
        <v>8132.44</v>
      </c>
      <c r="M133" s="582"/>
      <c r="N133" s="582"/>
      <c r="O133" s="582"/>
      <c r="P133" s="582">
        <f t="shared" si="27"/>
        <v>9401.7099999999991</v>
      </c>
      <c r="Q133" s="582">
        <f t="shared" si="28"/>
        <v>8132.44</v>
      </c>
      <c r="R133" s="583">
        <f t="shared" si="29"/>
        <v>100</v>
      </c>
      <c r="S133" s="584"/>
      <c r="T133" s="584"/>
      <c r="U133" s="585">
        <f>ROUND(R133*(1-T133/100),0)</f>
        <v>100</v>
      </c>
      <c r="V133" s="586">
        <f t="shared" si="30"/>
        <v>-98.77</v>
      </c>
      <c r="W133" s="611" t="s">
        <v>2076</v>
      </c>
      <c r="X133" s="619">
        <f t="shared" si="48"/>
        <v>11000</v>
      </c>
      <c r="Y133" s="618"/>
      <c r="Z133" s="617">
        <v>100</v>
      </c>
      <c r="AA133" s="361">
        <f t="shared" si="31"/>
        <v>85.47</v>
      </c>
      <c r="AB133" s="597"/>
      <c r="AC133" s="485">
        <f t="shared" si="32"/>
        <v>0</v>
      </c>
      <c r="AD133" s="597"/>
      <c r="AE133" s="485">
        <f t="shared" si="33"/>
        <v>0</v>
      </c>
      <c r="AF133" s="508">
        <f t="shared" si="34"/>
        <v>0</v>
      </c>
      <c r="AG133" s="508">
        <f t="shared" si="35"/>
        <v>0</v>
      </c>
      <c r="AH133" s="508">
        <f t="shared" si="36"/>
        <v>100</v>
      </c>
      <c r="AI133" s="508">
        <f t="shared" si="37"/>
        <v>0</v>
      </c>
      <c r="AJ133" s="508">
        <f t="shared" si="38"/>
        <v>14.53</v>
      </c>
      <c r="AK133" s="508">
        <f t="shared" si="39"/>
        <v>100</v>
      </c>
      <c r="AM133" s="486">
        <f t="shared" si="40"/>
        <v>1.92</v>
      </c>
      <c r="AN133" s="117">
        <f t="shared" si="49"/>
        <v>-2</v>
      </c>
      <c r="AO133" s="487">
        <f t="shared" si="41"/>
        <v>2500</v>
      </c>
      <c r="AP133" s="509"/>
    </row>
    <row r="134" spans="1:42" ht="14.25" customHeight="1">
      <c r="A134" s="701">
        <v>128</v>
      </c>
      <c r="B134" s="477"/>
      <c r="C134" s="477" t="s">
        <v>1653</v>
      </c>
      <c r="D134" s="477" t="s">
        <v>1252</v>
      </c>
      <c r="E134" s="475" t="s">
        <v>1453</v>
      </c>
      <c r="F134" s="477"/>
      <c r="G134" s="482" t="s">
        <v>1943</v>
      </c>
      <c r="H134" s="482">
        <v>1</v>
      </c>
      <c r="I134" s="580">
        <v>42368</v>
      </c>
      <c r="J134" s="580">
        <v>42368</v>
      </c>
      <c r="K134" s="581">
        <v>29914.53</v>
      </c>
      <c r="L134" s="581">
        <v>25876.05</v>
      </c>
      <c r="M134" s="582"/>
      <c r="N134" s="582"/>
      <c r="O134" s="582"/>
      <c r="P134" s="582">
        <f t="shared" si="27"/>
        <v>29914.53</v>
      </c>
      <c r="Q134" s="582">
        <f t="shared" si="28"/>
        <v>25876.05</v>
      </c>
      <c r="R134" s="583">
        <f t="shared" si="29"/>
        <v>29700</v>
      </c>
      <c r="S134" s="668">
        <f>AP134</f>
        <v>28</v>
      </c>
      <c r="T134" s="584"/>
      <c r="U134" s="585">
        <f>IF(S134="",R134,ROUND(R134*(S134-T134)/100,0))</f>
        <v>8316</v>
      </c>
      <c r="V134" s="586">
        <f t="shared" si="30"/>
        <v>-67.86</v>
      </c>
      <c r="W134" s="477"/>
      <c r="X134" s="619">
        <f t="shared" si="48"/>
        <v>35000</v>
      </c>
      <c r="Y134" s="618"/>
      <c r="Z134" s="489">
        <v>34700</v>
      </c>
      <c r="AA134" s="361">
        <f t="shared" si="31"/>
        <v>29658.12</v>
      </c>
      <c r="AB134" s="597"/>
      <c r="AC134" s="485">
        <f t="shared" si="32"/>
        <v>0</v>
      </c>
      <c r="AD134" s="597"/>
      <c r="AE134" s="485">
        <f t="shared" si="33"/>
        <v>0</v>
      </c>
      <c r="AF134" s="508">
        <f t="shared" si="34"/>
        <v>0</v>
      </c>
      <c r="AG134" s="508">
        <f t="shared" si="35"/>
        <v>0</v>
      </c>
      <c r="AH134" s="508">
        <f t="shared" si="36"/>
        <v>34700</v>
      </c>
      <c r="AI134" s="508">
        <f t="shared" si="37"/>
        <v>0</v>
      </c>
      <c r="AJ134" s="508">
        <f t="shared" si="38"/>
        <v>5041.88</v>
      </c>
      <c r="AK134" s="508">
        <f t="shared" si="39"/>
        <v>29700</v>
      </c>
      <c r="AL134" s="116">
        <v>10</v>
      </c>
      <c r="AM134" s="486">
        <f t="shared" si="40"/>
        <v>1.92</v>
      </c>
      <c r="AN134" s="117">
        <f t="shared" si="49"/>
        <v>8</v>
      </c>
      <c r="AO134" s="487">
        <f t="shared" si="41"/>
        <v>81</v>
      </c>
      <c r="AP134" s="509">
        <f>AO134*AP$4</f>
        <v>28</v>
      </c>
    </row>
    <row r="135" spans="1:42" ht="14.25" customHeight="1">
      <c r="A135" s="701">
        <v>129</v>
      </c>
      <c r="B135" s="477"/>
      <c r="C135" s="477" t="s">
        <v>1513</v>
      </c>
      <c r="D135" s="477" t="s">
        <v>1253</v>
      </c>
      <c r="E135" s="475" t="s">
        <v>1453</v>
      </c>
      <c r="F135" s="477"/>
      <c r="G135" s="482" t="s">
        <v>1943</v>
      </c>
      <c r="H135" s="482">
        <v>1</v>
      </c>
      <c r="I135" s="580">
        <v>42368</v>
      </c>
      <c r="J135" s="580">
        <v>42368</v>
      </c>
      <c r="K135" s="581">
        <v>11965.81</v>
      </c>
      <c r="L135" s="581">
        <v>10350.4</v>
      </c>
      <c r="M135" s="582"/>
      <c r="N135" s="582"/>
      <c r="O135" s="582"/>
      <c r="P135" s="582">
        <f t="shared" ref="P135:P198" si="51">K135+N135</f>
        <v>11965.81</v>
      </c>
      <c r="Q135" s="582">
        <f t="shared" ref="Q135:Q198" si="52">L135+O135</f>
        <v>10350.4</v>
      </c>
      <c r="R135" s="583">
        <f t="shared" ref="R135:R198" si="53">AK135</f>
        <v>100</v>
      </c>
      <c r="S135" s="584"/>
      <c r="T135" s="584"/>
      <c r="U135" s="585">
        <f>ROUND(R135*(1-T135/100),0)</f>
        <v>100</v>
      </c>
      <c r="V135" s="586">
        <f t="shared" ref="V135:V198" si="54">IF(Q135=0,"",(U135-Q135)/Q135*100)</f>
        <v>-99.03</v>
      </c>
      <c r="W135" s="611" t="s">
        <v>2074</v>
      </c>
      <c r="X135" s="619">
        <f t="shared" si="48"/>
        <v>14000</v>
      </c>
      <c r="Y135" s="618"/>
      <c r="Z135" s="617">
        <v>100</v>
      </c>
      <c r="AA135" s="361">
        <f t="shared" ref="AA135:AA198" si="55">Z135/1.17</f>
        <v>85.47</v>
      </c>
      <c r="AB135" s="597"/>
      <c r="AC135" s="485">
        <f t="shared" ref="AC135:AC198" si="56">Z135*AB135</f>
        <v>0</v>
      </c>
      <c r="AD135" s="597"/>
      <c r="AE135" s="485">
        <f t="shared" ref="AE135:AE198" si="57">Z135*AD135</f>
        <v>0</v>
      </c>
      <c r="AF135" s="508">
        <f t="shared" ref="AF135:AF198" si="58">(Z135+AC135+AE135)*AF$4</f>
        <v>0</v>
      </c>
      <c r="AG135" s="508">
        <f t="shared" ref="AG135:AG198" si="59">(Z135+AC135+AE135)*AG$4</f>
        <v>0</v>
      </c>
      <c r="AH135" s="508">
        <f t="shared" ref="AH135:AH198" si="60">Z135+AC135+AE135+AF135</f>
        <v>100</v>
      </c>
      <c r="AI135" s="508">
        <f t="shared" ref="AI135:AI198" si="61">AH135*AI$3*AI$4/2</f>
        <v>0</v>
      </c>
      <c r="AJ135" s="508">
        <f t="shared" ref="AJ135:AJ198" si="62">Z135*0.17/1.17+AC135*0.11/1.11+AE135*0.11/1.11+AF135-AG135</f>
        <v>14.53</v>
      </c>
      <c r="AK135" s="508">
        <f t="shared" ref="AK135:AK198" si="63">ROUND((Z135+AC135+AE135+AF135+AI135-AJ135)*H135,-2)</f>
        <v>100</v>
      </c>
      <c r="AL135" s="116">
        <v>6</v>
      </c>
      <c r="AM135" s="486">
        <f t="shared" ref="AM135:AM198" si="64">(AM$4-J135)/365</f>
        <v>1.92</v>
      </c>
      <c r="AN135" s="117">
        <f t="shared" si="49"/>
        <v>4</v>
      </c>
      <c r="AO135" s="487">
        <f t="shared" ref="AO135:AO198" si="65">AN135/(AM135+AN135)*100</f>
        <v>68</v>
      </c>
      <c r="AP135" s="509"/>
    </row>
    <row r="136" spans="1:42" ht="14.25" customHeight="1">
      <c r="A136" s="701">
        <v>130</v>
      </c>
      <c r="B136" s="477"/>
      <c r="C136" s="477" t="s">
        <v>1652</v>
      </c>
      <c r="D136" s="477" t="s">
        <v>1254</v>
      </c>
      <c r="E136" s="475" t="s">
        <v>1453</v>
      </c>
      <c r="F136" s="477"/>
      <c r="G136" s="482" t="s">
        <v>1943</v>
      </c>
      <c r="H136" s="482">
        <v>1</v>
      </c>
      <c r="I136" s="580">
        <v>42368</v>
      </c>
      <c r="J136" s="580">
        <v>42368</v>
      </c>
      <c r="K136" s="581">
        <v>8974.36</v>
      </c>
      <c r="L136" s="581">
        <v>7762.78</v>
      </c>
      <c r="M136" s="582"/>
      <c r="N136" s="582"/>
      <c r="O136" s="582"/>
      <c r="P136" s="582">
        <f t="shared" si="51"/>
        <v>8974.36</v>
      </c>
      <c r="Q136" s="582">
        <f t="shared" si="52"/>
        <v>7762.78</v>
      </c>
      <c r="R136" s="583">
        <f t="shared" si="53"/>
        <v>100</v>
      </c>
      <c r="S136" s="584"/>
      <c r="T136" s="584"/>
      <c r="U136" s="585">
        <f>ROUND(R136*(1-T136/100),0)</f>
        <v>100</v>
      </c>
      <c r="V136" s="586">
        <f t="shared" si="54"/>
        <v>-98.71</v>
      </c>
      <c r="W136" s="611" t="s">
        <v>2074</v>
      </c>
      <c r="X136" s="619">
        <f t="shared" si="48"/>
        <v>10500</v>
      </c>
      <c r="Y136" s="618"/>
      <c r="Z136" s="617">
        <v>100</v>
      </c>
      <c r="AA136" s="361">
        <f t="shared" si="55"/>
        <v>85.47</v>
      </c>
      <c r="AB136" s="597"/>
      <c r="AC136" s="485">
        <f t="shared" si="56"/>
        <v>0</v>
      </c>
      <c r="AD136" s="597"/>
      <c r="AE136" s="485">
        <f t="shared" si="57"/>
        <v>0</v>
      </c>
      <c r="AF136" s="508">
        <f t="shared" si="58"/>
        <v>0</v>
      </c>
      <c r="AG136" s="508">
        <f t="shared" si="59"/>
        <v>0</v>
      </c>
      <c r="AH136" s="508">
        <f t="shared" si="60"/>
        <v>100</v>
      </c>
      <c r="AI136" s="508">
        <f t="shared" si="61"/>
        <v>0</v>
      </c>
      <c r="AJ136" s="508">
        <f t="shared" si="62"/>
        <v>14.53</v>
      </c>
      <c r="AK136" s="508">
        <f t="shared" si="63"/>
        <v>100</v>
      </c>
      <c r="AL136" s="116">
        <v>6</v>
      </c>
      <c r="AM136" s="486">
        <f t="shared" si="64"/>
        <v>1.92</v>
      </c>
      <c r="AN136" s="117">
        <f t="shared" si="49"/>
        <v>4</v>
      </c>
      <c r="AO136" s="487">
        <f t="shared" si="65"/>
        <v>68</v>
      </c>
      <c r="AP136" s="509"/>
    </row>
    <row r="137" spans="1:42" ht="14.25" customHeight="1">
      <c r="A137" s="701">
        <v>131</v>
      </c>
      <c r="B137" s="477"/>
      <c r="C137" s="477" t="s">
        <v>1766</v>
      </c>
      <c r="D137" s="477" t="s">
        <v>1255</v>
      </c>
      <c r="E137" s="475" t="s">
        <v>1453</v>
      </c>
      <c r="F137" s="477"/>
      <c r="G137" s="482" t="s">
        <v>1943</v>
      </c>
      <c r="H137" s="482">
        <v>1</v>
      </c>
      <c r="I137" s="580">
        <v>42368</v>
      </c>
      <c r="J137" s="580">
        <v>42368</v>
      </c>
      <c r="K137" s="581">
        <v>5128.21</v>
      </c>
      <c r="L137" s="581">
        <v>4435.93</v>
      </c>
      <c r="M137" s="582"/>
      <c r="N137" s="582"/>
      <c r="O137" s="582"/>
      <c r="P137" s="582">
        <f t="shared" si="51"/>
        <v>5128.21</v>
      </c>
      <c r="Q137" s="582">
        <f t="shared" si="52"/>
        <v>4435.93</v>
      </c>
      <c r="R137" s="583">
        <f t="shared" si="53"/>
        <v>5000</v>
      </c>
      <c r="S137" s="668">
        <f>AP137</f>
        <v>27</v>
      </c>
      <c r="T137" s="584"/>
      <c r="U137" s="585">
        <f>IF(S137="",R137,ROUND(R137*S137/100,0))</f>
        <v>1350</v>
      </c>
      <c r="V137" s="586">
        <f t="shared" si="54"/>
        <v>-69.569999999999993</v>
      </c>
      <c r="W137" s="477"/>
      <c r="X137" s="619">
        <f t="shared" si="48"/>
        <v>6000.01</v>
      </c>
      <c r="Y137" s="618"/>
      <c r="Z137" s="489">
        <v>5800</v>
      </c>
      <c r="AA137" s="361">
        <f t="shared" si="55"/>
        <v>4957.26</v>
      </c>
      <c r="AB137" s="597"/>
      <c r="AC137" s="485">
        <f t="shared" si="56"/>
        <v>0</v>
      </c>
      <c r="AD137" s="597"/>
      <c r="AE137" s="485">
        <f t="shared" si="57"/>
        <v>0</v>
      </c>
      <c r="AF137" s="508">
        <f t="shared" si="58"/>
        <v>0</v>
      </c>
      <c r="AG137" s="508">
        <f t="shared" si="59"/>
        <v>0</v>
      </c>
      <c r="AH137" s="508">
        <f t="shared" si="60"/>
        <v>5800</v>
      </c>
      <c r="AI137" s="508">
        <f t="shared" si="61"/>
        <v>0</v>
      </c>
      <c r="AJ137" s="508">
        <f t="shared" si="62"/>
        <v>842.74</v>
      </c>
      <c r="AK137" s="508">
        <f t="shared" si="63"/>
        <v>5000</v>
      </c>
      <c r="AL137" s="116">
        <v>8</v>
      </c>
      <c r="AM137" s="486">
        <f t="shared" si="64"/>
        <v>1.92</v>
      </c>
      <c r="AN137" s="117">
        <f t="shared" si="49"/>
        <v>6</v>
      </c>
      <c r="AO137" s="487">
        <f t="shared" si="65"/>
        <v>76</v>
      </c>
      <c r="AP137" s="509">
        <f>AO137*AP$4</f>
        <v>27</v>
      </c>
    </row>
    <row r="138" spans="1:42" ht="14.25" customHeight="1">
      <c r="A138" s="701">
        <v>132</v>
      </c>
      <c r="B138" s="477"/>
      <c r="C138" s="477" t="s">
        <v>1539</v>
      </c>
      <c r="D138" s="477" t="s">
        <v>1256</v>
      </c>
      <c r="E138" s="475" t="s">
        <v>1453</v>
      </c>
      <c r="F138" s="477"/>
      <c r="G138" s="579" t="s">
        <v>1942</v>
      </c>
      <c r="H138" s="482">
        <v>1</v>
      </c>
      <c r="I138" s="580">
        <v>42368</v>
      </c>
      <c r="J138" s="580">
        <v>42368</v>
      </c>
      <c r="K138" s="581">
        <v>12947.01</v>
      </c>
      <c r="L138" s="581">
        <v>11199.12</v>
      </c>
      <c r="M138" s="582"/>
      <c r="N138" s="582"/>
      <c r="O138" s="582"/>
      <c r="P138" s="582">
        <f t="shared" si="51"/>
        <v>12947.01</v>
      </c>
      <c r="Q138" s="582">
        <f t="shared" si="52"/>
        <v>11199.12</v>
      </c>
      <c r="R138" s="583">
        <f t="shared" si="53"/>
        <v>100</v>
      </c>
      <c r="S138" s="584"/>
      <c r="T138" s="584"/>
      <c r="U138" s="585">
        <f>ROUND(R138*(1-T138/100),0)</f>
        <v>100</v>
      </c>
      <c r="V138" s="586">
        <f t="shared" si="54"/>
        <v>-99.11</v>
      </c>
      <c r="W138" s="611" t="s">
        <v>2076</v>
      </c>
      <c r="X138" s="619">
        <f t="shared" si="48"/>
        <v>15148</v>
      </c>
      <c r="Y138" s="618"/>
      <c r="Z138" s="617">
        <v>100</v>
      </c>
      <c r="AA138" s="361">
        <f t="shared" si="55"/>
        <v>85.47</v>
      </c>
      <c r="AB138" s="597"/>
      <c r="AC138" s="485">
        <f t="shared" si="56"/>
        <v>0</v>
      </c>
      <c r="AD138" s="597"/>
      <c r="AE138" s="485">
        <f t="shared" si="57"/>
        <v>0</v>
      </c>
      <c r="AF138" s="508">
        <f t="shared" si="58"/>
        <v>0</v>
      </c>
      <c r="AG138" s="508">
        <f t="shared" si="59"/>
        <v>0</v>
      </c>
      <c r="AH138" s="508">
        <f t="shared" si="60"/>
        <v>100</v>
      </c>
      <c r="AI138" s="508">
        <f t="shared" si="61"/>
        <v>0</v>
      </c>
      <c r="AJ138" s="508">
        <f t="shared" si="62"/>
        <v>14.53</v>
      </c>
      <c r="AK138" s="508">
        <f t="shared" si="63"/>
        <v>100</v>
      </c>
      <c r="AL138" s="116">
        <v>6</v>
      </c>
      <c r="AM138" s="486">
        <f t="shared" si="64"/>
        <v>1.92</v>
      </c>
      <c r="AN138" s="117">
        <f t="shared" si="49"/>
        <v>4</v>
      </c>
      <c r="AO138" s="487">
        <f t="shared" si="65"/>
        <v>68</v>
      </c>
      <c r="AP138" s="509"/>
    </row>
    <row r="139" spans="1:42" ht="14.25" customHeight="1">
      <c r="A139" s="701">
        <v>133</v>
      </c>
      <c r="B139" s="477"/>
      <c r="C139" s="477" t="s">
        <v>1541</v>
      </c>
      <c r="D139" s="477" t="s">
        <v>1257</v>
      </c>
      <c r="E139" s="475" t="s">
        <v>1453</v>
      </c>
      <c r="F139" s="477"/>
      <c r="G139" s="482" t="s">
        <v>1943</v>
      </c>
      <c r="H139" s="482">
        <v>1</v>
      </c>
      <c r="I139" s="580">
        <v>42368</v>
      </c>
      <c r="J139" s="580">
        <v>42368</v>
      </c>
      <c r="K139" s="581">
        <v>12777.78</v>
      </c>
      <c r="L139" s="581">
        <v>11052.75</v>
      </c>
      <c r="M139" s="582"/>
      <c r="N139" s="582"/>
      <c r="O139" s="582"/>
      <c r="P139" s="582">
        <f t="shared" si="51"/>
        <v>12777.78</v>
      </c>
      <c r="Q139" s="582">
        <f t="shared" si="52"/>
        <v>11052.75</v>
      </c>
      <c r="R139" s="583">
        <f t="shared" si="53"/>
        <v>100</v>
      </c>
      <c r="S139" s="584"/>
      <c r="T139" s="584"/>
      <c r="U139" s="585">
        <f>ROUND(R139*(1-T139/100),0)</f>
        <v>100</v>
      </c>
      <c r="V139" s="586">
        <f t="shared" si="54"/>
        <v>-99.1</v>
      </c>
      <c r="W139" s="611" t="s">
        <v>2076</v>
      </c>
      <c r="X139" s="619">
        <f t="shared" si="48"/>
        <v>14950</v>
      </c>
      <c r="Y139" s="618"/>
      <c r="Z139" s="617">
        <v>100</v>
      </c>
      <c r="AA139" s="361">
        <f t="shared" si="55"/>
        <v>85.47</v>
      </c>
      <c r="AB139" s="597"/>
      <c r="AC139" s="485">
        <f t="shared" si="56"/>
        <v>0</v>
      </c>
      <c r="AD139" s="597"/>
      <c r="AE139" s="485">
        <f t="shared" si="57"/>
        <v>0</v>
      </c>
      <c r="AF139" s="508">
        <f t="shared" si="58"/>
        <v>0</v>
      </c>
      <c r="AG139" s="508">
        <f t="shared" si="59"/>
        <v>0</v>
      </c>
      <c r="AH139" s="508">
        <f t="shared" si="60"/>
        <v>100</v>
      </c>
      <c r="AI139" s="508">
        <f t="shared" si="61"/>
        <v>0</v>
      </c>
      <c r="AJ139" s="508">
        <f t="shared" si="62"/>
        <v>14.53</v>
      </c>
      <c r="AK139" s="508">
        <f t="shared" si="63"/>
        <v>100</v>
      </c>
      <c r="AL139" s="116">
        <v>6</v>
      </c>
      <c r="AM139" s="486">
        <f t="shared" si="64"/>
        <v>1.92</v>
      </c>
      <c r="AN139" s="117">
        <f t="shared" si="49"/>
        <v>4</v>
      </c>
      <c r="AO139" s="487">
        <f t="shared" si="65"/>
        <v>68</v>
      </c>
      <c r="AP139" s="509"/>
    </row>
    <row r="140" spans="1:42" ht="14.25" customHeight="1">
      <c r="A140" s="701">
        <v>134</v>
      </c>
      <c r="B140" s="477"/>
      <c r="C140" s="477" t="s">
        <v>1678</v>
      </c>
      <c r="D140" s="477"/>
      <c r="E140" s="475" t="s">
        <v>1453</v>
      </c>
      <c r="F140" s="477"/>
      <c r="G140" s="482" t="s">
        <v>1943</v>
      </c>
      <c r="H140" s="482">
        <v>1</v>
      </c>
      <c r="I140" s="580">
        <v>42495</v>
      </c>
      <c r="J140" s="580">
        <v>42495</v>
      </c>
      <c r="K140" s="581">
        <v>10085.48</v>
      </c>
      <c r="L140" s="581">
        <v>9480.36</v>
      </c>
      <c r="M140" s="582"/>
      <c r="N140" s="582"/>
      <c r="O140" s="582"/>
      <c r="P140" s="582">
        <f t="shared" si="51"/>
        <v>10085.48</v>
      </c>
      <c r="Q140" s="582">
        <f t="shared" si="52"/>
        <v>9480.36</v>
      </c>
      <c r="R140" s="583">
        <f t="shared" si="53"/>
        <v>9400</v>
      </c>
      <c r="S140" s="668">
        <f t="shared" ref="S140:S145" si="66">AP140</f>
        <v>25</v>
      </c>
      <c r="T140" s="584"/>
      <c r="U140" s="585">
        <f>IF(S140="",R140,ROUND(R140*S140/100,0))</f>
        <v>2350</v>
      </c>
      <c r="V140" s="586">
        <f t="shared" si="54"/>
        <v>-75.209999999999994</v>
      </c>
      <c r="W140" s="477"/>
      <c r="X140" s="619">
        <f t="shared" si="48"/>
        <v>11800.01</v>
      </c>
      <c r="Y140" s="618"/>
      <c r="Z140" s="489">
        <v>11000</v>
      </c>
      <c r="AA140" s="361">
        <f t="shared" si="55"/>
        <v>9401.7099999999991</v>
      </c>
      <c r="AB140" s="597"/>
      <c r="AC140" s="485">
        <f t="shared" si="56"/>
        <v>0</v>
      </c>
      <c r="AD140" s="597"/>
      <c r="AE140" s="485">
        <f t="shared" si="57"/>
        <v>0</v>
      </c>
      <c r="AF140" s="508">
        <f t="shared" si="58"/>
        <v>0</v>
      </c>
      <c r="AG140" s="508">
        <f t="shared" si="59"/>
        <v>0</v>
      </c>
      <c r="AH140" s="508">
        <f t="shared" si="60"/>
        <v>11000</v>
      </c>
      <c r="AI140" s="508">
        <f t="shared" si="61"/>
        <v>0</v>
      </c>
      <c r="AJ140" s="508">
        <f t="shared" si="62"/>
        <v>1598.29</v>
      </c>
      <c r="AK140" s="508">
        <f t="shared" si="63"/>
        <v>9400</v>
      </c>
      <c r="AL140" s="116">
        <v>6</v>
      </c>
      <c r="AM140" s="486">
        <f t="shared" si="64"/>
        <v>1.57</v>
      </c>
      <c r="AN140" s="117">
        <f t="shared" si="49"/>
        <v>4</v>
      </c>
      <c r="AO140" s="487">
        <f t="shared" si="65"/>
        <v>72</v>
      </c>
      <c r="AP140" s="509">
        <f>AO140*AP$4</f>
        <v>25</v>
      </c>
    </row>
    <row r="141" spans="1:42" ht="14.25" customHeight="1">
      <c r="A141" s="701">
        <v>135</v>
      </c>
      <c r="B141" s="477"/>
      <c r="C141" s="477" t="s">
        <v>1566</v>
      </c>
      <c r="D141" s="477" t="s">
        <v>1258</v>
      </c>
      <c r="E141" s="475" t="s">
        <v>1453</v>
      </c>
      <c r="F141" s="477"/>
      <c r="G141" s="579" t="s">
        <v>1942</v>
      </c>
      <c r="H141" s="482">
        <v>1</v>
      </c>
      <c r="I141" s="580">
        <v>42642</v>
      </c>
      <c r="J141" s="580">
        <v>42642</v>
      </c>
      <c r="K141" s="581">
        <v>6401.71</v>
      </c>
      <c r="L141" s="581">
        <v>4102.5600000000004</v>
      </c>
      <c r="M141" s="582"/>
      <c r="N141" s="582"/>
      <c r="O141" s="582"/>
      <c r="P141" s="582">
        <f t="shared" si="51"/>
        <v>6401.71</v>
      </c>
      <c r="Q141" s="582">
        <f t="shared" si="52"/>
        <v>4102.5600000000004</v>
      </c>
      <c r="R141" s="583">
        <f t="shared" si="53"/>
        <v>6200</v>
      </c>
      <c r="S141" s="668">
        <f t="shared" si="66"/>
        <v>28</v>
      </c>
      <c r="T141" s="584"/>
      <c r="U141" s="585">
        <f>IF(S141="",R141,ROUND(R141*S141/100,0))</f>
        <v>1736</v>
      </c>
      <c r="V141" s="586">
        <f t="shared" si="54"/>
        <v>-57.68</v>
      </c>
      <c r="W141" s="477"/>
      <c r="X141" s="619">
        <f t="shared" si="48"/>
        <v>7490</v>
      </c>
      <c r="Y141" s="618"/>
      <c r="Z141" s="489">
        <v>7300</v>
      </c>
      <c r="AA141" s="361">
        <f t="shared" si="55"/>
        <v>6239.32</v>
      </c>
      <c r="AB141" s="597"/>
      <c r="AC141" s="485">
        <f t="shared" si="56"/>
        <v>0</v>
      </c>
      <c r="AD141" s="597"/>
      <c r="AE141" s="485">
        <f t="shared" si="57"/>
        <v>0</v>
      </c>
      <c r="AF141" s="508">
        <f t="shared" si="58"/>
        <v>0</v>
      </c>
      <c r="AG141" s="508">
        <f t="shared" si="59"/>
        <v>0</v>
      </c>
      <c r="AH141" s="508">
        <f t="shared" si="60"/>
        <v>7300</v>
      </c>
      <c r="AI141" s="508">
        <f t="shared" si="61"/>
        <v>0</v>
      </c>
      <c r="AJ141" s="508">
        <f t="shared" si="62"/>
        <v>1060.68</v>
      </c>
      <c r="AK141" s="508">
        <f t="shared" si="63"/>
        <v>6200</v>
      </c>
      <c r="AL141" s="116">
        <v>6</v>
      </c>
      <c r="AM141" s="486">
        <f t="shared" si="64"/>
        <v>1.17</v>
      </c>
      <c r="AN141" s="117">
        <f t="shared" si="49"/>
        <v>5</v>
      </c>
      <c r="AO141" s="487">
        <f t="shared" si="65"/>
        <v>81</v>
      </c>
      <c r="AP141" s="509">
        <f>AO141*AP$4</f>
        <v>28</v>
      </c>
    </row>
    <row r="142" spans="1:42" ht="14.25" customHeight="1">
      <c r="A142" s="701">
        <v>136</v>
      </c>
      <c r="B142" s="477"/>
      <c r="C142" s="477" t="s">
        <v>1525</v>
      </c>
      <c r="D142" s="477" t="s">
        <v>1259</v>
      </c>
      <c r="E142" s="475" t="s">
        <v>1453</v>
      </c>
      <c r="F142" s="477"/>
      <c r="G142" s="482" t="s">
        <v>1943</v>
      </c>
      <c r="H142" s="482">
        <v>1</v>
      </c>
      <c r="I142" s="580">
        <v>42724</v>
      </c>
      <c r="J142" s="580">
        <v>42724</v>
      </c>
      <c r="K142" s="581">
        <v>5811.97</v>
      </c>
      <c r="L142" s="581">
        <v>4852.99</v>
      </c>
      <c r="M142" s="582"/>
      <c r="N142" s="582"/>
      <c r="O142" s="582"/>
      <c r="P142" s="582">
        <f t="shared" si="51"/>
        <v>5811.97</v>
      </c>
      <c r="Q142" s="582">
        <f t="shared" si="52"/>
        <v>4852.99</v>
      </c>
      <c r="R142" s="583">
        <f t="shared" si="53"/>
        <v>5600</v>
      </c>
      <c r="S142" s="668">
        <f t="shared" si="66"/>
        <v>32</v>
      </c>
      <c r="T142" s="584"/>
      <c r="U142" s="585">
        <f>IF(S142="",R142,ROUND(R142*S142/100,0))</f>
        <v>1792</v>
      </c>
      <c r="V142" s="586">
        <f t="shared" si="54"/>
        <v>-63.07</v>
      </c>
      <c r="W142" s="477"/>
      <c r="X142" s="619">
        <f t="shared" si="48"/>
        <v>6800</v>
      </c>
      <c r="Y142" s="618"/>
      <c r="Z142" s="489">
        <v>6600</v>
      </c>
      <c r="AA142" s="361">
        <f t="shared" si="55"/>
        <v>5641.03</v>
      </c>
      <c r="AB142" s="597"/>
      <c r="AC142" s="485">
        <f t="shared" si="56"/>
        <v>0</v>
      </c>
      <c r="AD142" s="597"/>
      <c r="AE142" s="485">
        <f t="shared" si="57"/>
        <v>0</v>
      </c>
      <c r="AF142" s="508">
        <f t="shared" si="58"/>
        <v>0</v>
      </c>
      <c r="AG142" s="508">
        <f t="shared" si="59"/>
        <v>0</v>
      </c>
      <c r="AH142" s="508">
        <f t="shared" si="60"/>
        <v>6600</v>
      </c>
      <c r="AI142" s="508">
        <f t="shared" si="61"/>
        <v>0</v>
      </c>
      <c r="AJ142" s="508">
        <f t="shared" si="62"/>
        <v>958.97</v>
      </c>
      <c r="AK142" s="508">
        <f t="shared" si="63"/>
        <v>5600</v>
      </c>
      <c r="AL142" s="116">
        <v>10</v>
      </c>
      <c r="AM142" s="486">
        <f t="shared" si="64"/>
        <v>0.95</v>
      </c>
      <c r="AN142" s="117">
        <f t="shared" si="49"/>
        <v>9</v>
      </c>
      <c r="AO142" s="487">
        <f t="shared" si="65"/>
        <v>90</v>
      </c>
      <c r="AP142" s="509">
        <f>AO142*AP$4</f>
        <v>32</v>
      </c>
    </row>
    <row r="143" spans="1:42" ht="14.25" customHeight="1">
      <c r="A143" s="701">
        <v>137</v>
      </c>
      <c r="B143" s="477"/>
      <c r="C143" s="477" t="s">
        <v>1498</v>
      </c>
      <c r="D143" s="477" t="s">
        <v>1260</v>
      </c>
      <c r="E143" s="475" t="s">
        <v>1453</v>
      </c>
      <c r="F143" s="611" t="s">
        <v>2033</v>
      </c>
      <c r="G143" s="579" t="s">
        <v>1965</v>
      </c>
      <c r="H143" s="482">
        <v>1</v>
      </c>
      <c r="I143" s="580">
        <v>42732</v>
      </c>
      <c r="J143" s="580">
        <v>42732</v>
      </c>
      <c r="K143" s="581">
        <v>222255.8</v>
      </c>
      <c r="L143" s="581">
        <v>213087.74</v>
      </c>
      <c r="M143" s="704" t="s">
        <v>2346</v>
      </c>
      <c r="N143" s="582"/>
      <c r="O143" s="582"/>
      <c r="P143" s="582">
        <f t="shared" si="51"/>
        <v>222255.8</v>
      </c>
      <c r="Q143" s="582">
        <f t="shared" si="52"/>
        <v>213087.74</v>
      </c>
      <c r="R143" s="583">
        <f t="shared" si="53"/>
        <v>162400</v>
      </c>
      <c r="S143" s="668">
        <f t="shared" si="66"/>
        <v>35</v>
      </c>
      <c r="T143" s="584">
        <v>4</v>
      </c>
      <c r="U143" s="585">
        <f>IF(S143="",R143,ROUND(R143*(S143-T143)/100,0))</f>
        <v>50344</v>
      </c>
      <c r="V143" s="586">
        <f t="shared" si="54"/>
        <v>-76.37</v>
      </c>
      <c r="W143" s="477"/>
      <c r="X143" s="619">
        <f t="shared" si="48"/>
        <v>260039.29</v>
      </c>
      <c r="Y143" s="618"/>
      <c r="Z143" s="624">
        <v>190000</v>
      </c>
      <c r="AA143" s="361">
        <f t="shared" si="55"/>
        <v>162393.16</v>
      </c>
      <c r="AB143" s="597"/>
      <c r="AC143" s="485">
        <f t="shared" si="56"/>
        <v>0</v>
      </c>
      <c r="AD143" s="597"/>
      <c r="AE143" s="485">
        <f t="shared" si="57"/>
        <v>0</v>
      </c>
      <c r="AF143" s="508">
        <f t="shared" si="58"/>
        <v>0</v>
      </c>
      <c r="AG143" s="508">
        <f t="shared" si="59"/>
        <v>0</v>
      </c>
      <c r="AH143" s="508">
        <f t="shared" si="60"/>
        <v>190000</v>
      </c>
      <c r="AI143" s="508">
        <f t="shared" si="61"/>
        <v>0</v>
      </c>
      <c r="AJ143" s="508">
        <f t="shared" si="62"/>
        <v>27606.84</v>
      </c>
      <c r="AK143" s="508">
        <f t="shared" si="63"/>
        <v>162400</v>
      </c>
      <c r="AL143" s="116">
        <v>16</v>
      </c>
      <c r="AM143" s="486">
        <f t="shared" si="64"/>
        <v>0.92</v>
      </c>
      <c r="AN143" s="117">
        <f t="shared" si="49"/>
        <v>15</v>
      </c>
      <c r="AO143" s="487">
        <f t="shared" si="65"/>
        <v>94</v>
      </c>
      <c r="AP143" s="509">
        <v>35</v>
      </c>
    </row>
    <row r="144" spans="1:42" ht="14.25" customHeight="1">
      <c r="A144" s="701">
        <v>138</v>
      </c>
      <c r="B144" s="477"/>
      <c r="C144" s="611" t="s">
        <v>2312</v>
      </c>
      <c r="D144" s="477" t="s">
        <v>1261</v>
      </c>
      <c r="E144" s="475" t="s">
        <v>1453</v>
      </c>
      <c r="F144" s="623" t="s">
        <v>1995</v>
      </c>
      <c r="G144" s="482" t="s">
        <v>1943</v>
      </c>
      <c r="H144" s="482">
        <v>1</v>
      </c>
      <c r="I144" s="580">
        <v>40544</v>
      </c>
      <c r="J144" s="580">
        <v>37681</v>
      </c>
      <c r="K144" s="581">
        <v>2000000</v>
      </c>
      <c r="L144" s="581">
        <v>25641.03</v>
      </c>
      <c r="M144" s="704" t="s">
        <v>2346</v>
      </c>
      <c r="N144" s="582"/>
      <c r="O144" s="582"/>
      <c r="P144" s="582">
        <f t="shared" si="51"/>
        <v>2000000</v>
      </c>
      <c r="Q144" s="582">
        <f t="shared" si="52"/>
        <v>25641.03</v>
      </c>
      <c r="R144" s="583">
        <f t="shared" si="53"/>
        <v>1533300</v>
      </c>
      <c r="S144" s="668">
        <f t="shared" si="66"/>
        <v>10</v>
      </c>
      <c r="T144" s="584">
        <v>5</v>
      </c>
      <c r="U144" s="585">
        <f>IF(S144="",R144,ROUND(R144*(S144-T144)/100,0))</f>
        <v>76665</v>
      </c>
      <c r="V144" s="586">
        <f t="shared" si="54"/>
        <v>198.99</v>
      </c>
      <c r="W144" s="477"/>
      <c r="X144" s="618">
        <f t="shared" ref="X144:X175" si="67">P144/H144</f>
        <v>2000000</v>
      </c>
      <c r="Y144" s="618"/>
      <c r="Z144" s="624">
        <v>1794000</v>
      </c>
      <c r="AA144" s="361">
        <f t="shared" si="55"/>
        <v>1533333.33</v>
      </c>
      <c r="AB144" s="597"/>
      <c r="AC144" s="485">
        <f t="shared" si="56"/>
        <v>0</v>
      </c>
      <c r="AD144" s="597"/>
      <c r="AE144" s="485">
        <f t="shared" si="57"/>
        <v>0</v>
      </c>
      <c r="AF144" s="508">
        <f t="shared" si="58"/>
        <v>0</v>
      </c>
      <c r="AG144" s="508">
        <f t="shared" si="59"/>
        <v>0</v>
      </c>
      <c r="AH144" s="508">
        <f t="shared" si="60"/>
        <v>1794000</v>
      </c>
      <c r="AI144" s="508">
        <f t="shared" si="61"/>
        <v>0</v>
      </c>
      <c r="AJ144" s="508">
        <f t="shared" si="62"/>
        <v>260666.67</v>
      </c>
      <c r="AK144" s="508">
        <f t="shared" si="63"/>
        <v>1533300</v>
      </c>
      <c r="AL144" s="116">
        <v>12</v>
      </c>
      <c r="AM144" s="486">
        <f t="shared" si="64"/>
        <v>14.76</v>
      </c>
      <c r="AN144" s="632">
        <v>2</v>
      </c>
      <c r="AO144" s="487">
        <f t="shared" si="65"/>
        <v>12</v>
      </c>
      <c r="AP144" s="667">
        <v>10</v>
      </c>
    </row>
    <row r="145" spans="1:42" ht="14.25" customHeight="1">
      <c r="A145" s="701">
        <v>139</v>
      </c>
      <c r="B145" s="477"/>
      <c r="C145" s="477" t="s">
        <v>1685</v>
      </c>
      <c r="D145" s="477" t="s">
        <v>1261</v>
      </c>
      <c r="E145" s="475" t="s">
        <v>1453</v>
      </c>
      <c r="F145" s="623" t="s">
        <v>1995</v>
      </c>
      <c r="G145" s="482" t="s">
        <v>1943</v>
      </c>
      <c r="H145" s="482">
        <v>1</v>
      </c>
      <c r="I145" s="580">
        <v>40544</v>
      </c>
      <c r="J145" s="580">
        <v>37681</v>
      </c>
      <c r="K145" s="581">
        <v>561538.46</v>
      </c>
      <c r="L145" s="581">
        <v>854.7</v>
      </c>
      <c r="M145" s="582"/>
      <c r="N145" s="582"/>
      <c r="O145" s="582"/>
      <c r="P145" s="582">
        <f t="shared" si="51"/>
        <v>561538.46</v>
      </c>
      <c r="Q145" s="582">
        <f t="shared" si="52"/>
        <v>854.7</v>
      </c>
      <c r="R145" s="583">
        <f t="shared" si="53"/>
        <v>535900</v>
      </c>
      <c r="S145" s="668">
        <f t="shared" si="66"/>
        <v>10</v>
      </c>
      <c r="T145" s="584">
        <v>5</v>
      </c>
      <c r="U145" s="585">
        <f>IF(S145="",R145,ROUND(R145*(S145-T145)/100,0))</f>
        <v>26795</v>
      </c>
      <c r="V145" s="586">
        <f t="shared" si="54"/>
        <v>3035.02</v>
      </c>
      <c r="W145" s="477"/>
      <c r="X145" s="618">
        <f t="shared" si="67"/>
        <v>561538.46</v>
      </c>
      <c r="Y145" s="618"/>
      <c r="Z145" s="489">
        <v>627000</v>
      </c>
      <c r="AA145" s="361">
        <f t="shared" si="55"/>
        <v>535897.43999999994</v>
      </c>
      <c r="AB145" s="597"/>
      <c r="AC145" s="485">
        <f t="shared" si="56"/>
        <v>0</v>
      </c>
      <c r="AD145" s="597"/>
      <c r="AE145" s="485">
        <f t="shared" si="57"/>
        <v>0</v>
      </c>
      <c r="AF145" s="508">
        <f t="shared" si="58"/>
        <v>0</v>
      </c>
      <c r="AG145" s="508">
        <f t="shared" si="59"/>
        <v>0</v>
      </c>
      <c r="AH145" s="508">
        <f t="shared" si="60"/>
        <v>627000</v>
      </c>
      <c r="AI145" s="508">
        <f t="shared" si="61"/>
        <v>0</v>
      </c>
      <c r="AJ145" s="508">
        <f t="shared" si="62"/>
        <v>91102.56</v>
      </c>
      <c r="AK145" s="508">
        <f t="shared" si="63"/>
        <v>535900</v>
      </c>
      <c r="AL145" s="116">
        <v>12</v>
      </c>
      <c r="AM145" s="486">
        <f t="shared" si="64"/>
        <v>14.76</v>
      </c>
      <c r="AN145" s="632">
        <v>2</v>
      </c>
      <c r="AO145" s="487">
        <f t="shared" si="65"/>
        <v>12</v>
      </c>
      <c r="AP145" s="667">
        <v>10</v>
      </c>
    </row>
    <row r="146" spans="1:42" ht="14.25" customHeight="1">
      <c r="A146" s="701">
        <v>140</v>
      </c>
      <c r="B146" s="477"/>
      <c r="C146" s="611" t="s">
        <v>2047</v>
      </c>
      <c r="D146" s="477"/>
      <c r="E146" s="475" t="s">
        <v>1453</v>
      </c>
      <c r="F146" s="611" t="s">
        <v>2025</v>
      </c>
      <c r="G146" s="579" t="s">
        <v>1923</v>
      </c>
      <c r="H146" s="482">
        <v>1</v>
      </c>
      <c r="I146" s="580">
        <v>40544</v>
      </c>
      <c r="J146" s="580">
        <v>37681</v>
      </c>
      <c r="K146" s="581">
        <v>20000</v>
      </c>
      <c r="L146" s="581">
        <v>1709.4</v>
      </c>
      <c r="M146" s="582"/>
      <c r="N146" s="582"/>
      <c r="O146" s="582"/>
      <c r="P146" s="582">
        <f t="shared" si="51"/>
        <v>20000</v>
      </c>
      <c r="Q146" s="582">
        <f t="shared" si="52"/>
        <v>1709.4</v>
      </c>
      <c r="R146" s="583">
        <f t="shared" si="53"/>
        <v>200</v>
      </c>
      <c r="S146" s="584"/>
      <c r="T146" s="584">
        <v>4</v>
      </c>
      <c r="U146" s="585">
        <f>ROUND(R146*(1-T146/100),0)</f>
        <v>192</v>
      </c>
      <c r="V146" s="586">
        <f t="shared" si="54"/>
        <v>-88.77</v>
      </c>
      <c r="W146" s="477"/>
      <c r="X146" s="618">
        <f t="shared" si="67"/>
        <v>20000</v>
      </c>
      <c r="Y146" s="618"/>
      <c r="Z146" s="489">
        <v>200</v>
      </c>
      <c r="AA146" s="361">
        <f t="shared" si="55"/>
        <v>170.94</v>
      </c>
      <c r="AB146" s="597"/>
      <c r="AC146" s="485">
        <f t="shared" si="56"/>
        <v>0</v>
      </c>
      <c r="AD146" s="597"/>
      <c r="AE146" s="485">
        <f t="shared" si="57"/>
        <v>0</v>
      </c>
      <c r="AF146" s="508">
        <f t="shared" si="58"/>
        <v>0</v>
      </c>
      <c r="AG146" s="508">
        <f t="shared" si="59"/>
        <v>0</v>
      </c>
      <c r="AH146" s="508">
        <f t="shared" si="60"/>
        <v>200</v>
      </c>
      <c r="AI146" s="508">
        <f t="shared" si="61"/>
        <v>0</v>
      </c>
      <c r="AJ146" s="508">
        <f t="shared" si="62"/>
        <v>29.06</v>
      </c>
      <c r="AK146" s="508">
        <f t="shared" si="63"/>
        <v>200</v>
      </c>
      <c r="AL146" s="116">
        <v>12</v>
      </c>
      <c r="AM146" s="486">
        <f t="shared" si="64"/>
        <v>14.76</v>
      </c>
      <c r="AN146" s="117">
        <f>ROUND((AL146-AM146),0)</f>
        <v>-3</v>
      </c>
      <c r="AO146" s="487">
        <f t="shared" si="65"/>
        <v>-26</v>
      </c>
      <c r="AP146" s="509"/>
    </row>
    <row r="147" spans="1:42" ht="14.25" customHeight="1">
      <c r="A147" s="701">
        <v>141</v>
      </c>
      <c r="B147" s="477"/>
      <c r="C147" s="477" t="s">
        <v>1684</v>
      </c>
      <c r="D147" s="477" t="s">
        <v>1262</v>
      </c>
      <c r="E147" s="475" t="s">
        <v>1453</v>
      </c>
      <c r="F147" s="477"/>
      <c r="G147" s="579" t="s">
        <v>1920</v>
      </c>
      <c r="H147" s="482">
        <v>1</v>
      </c>
      <c r="I147" s="580">
        <v>40544</v>
      </c>
      <c r="J147" s="580">
        <v>37681</v>
      </c>
      <c r="K147" s="581">
        <v>50000</v>
      </c>
      <c r="L147" s="581">
        <v>1709.4</v>
      </c>
      <c r="M147" s="582"/>
      <c r="N147" s="582"/>
      <c r="O147" s="582"/>
      <c r="P147" s="582">
        <f t="shared" si="51"/>
        <v>50000</v>
      </c>
      <c r="Q147" s="582">
        <f t="shared" si="52"/>
        <v>1709.4</v>
      </c>
      <c r="R147" s="583">
        <f t="shared" si="53"/>
        <v>34200</v>
      </c>
      <c r="S147" s="668">
        <f>AP147</f>
        <v>10</v>
      </c>
      <c r="T147" s="584">
        <v>4</v>
      </c>
      <c r="U147" s="585">
        <f>IF(S147="",R147,ROUND(R147*(S147-T147)/100,0))</f>
        <v>2052</v>
      </c>
      <c r="V147" s="586">
        <f t="shared" si="54"/>
        <v>20.04</v>
      </c>
      <c r="W147" s="477"/>
      <c r="X147" s="618">
        <f t="shared" si="67"/>
        <v>50000</v>
      </c>
      <c r="Y147" s="618"/>
      <c r="Z147" s="489">
        <v>40000</v>
      </c>
      <c r="AA147" s="361">
        <f t="shared" si="55"/>
        <v>34188.03</v>
      </c>
      <c r="AB147" s="597"/>
      <c r="AC147" s="485">
        <f t="shared" si="56"/>
        <v>0</v>
      </c>
      <c r="AD147" s="597"/>
      <c r="AE147" s="485">
        <f t="shared" si="57"/>
        <v>0</v>
      </c>
      <c r="AF147" s="508">
        <f t="shared" si="58"/>
        <v>0</v>
      </c>
      <c r="AG147" s="508">
        <f t="shared" si="59"/>
        <v>0</v>
      </c>
      <c r="AH147" s="508">
        <f t="shared" si="60"/>
        <v>40000</v>
      </c>
      <c r="AI147" s="508">
        <f t="shared" si="61"/>
        <v>0</v>
      </c>
      <c r="AJ147" s="508">
        <f t="shared" si="62"/>
        <v>5811.97</v>
      </c>
      <c r="AK147" s="508">
        <f t="shared" si="63"/>
        <v>34200</v>
      </c>
      <c r="AL147" s="116">
        <v>12</v>
      </c>
      <c r="AM147" s="486">
        <f t="shared" si="64"/>
        <v>14.76</v>
      </c>
      <c r="AN147" s="632">
        <v>2</v>
      </c>
      <c r="AO147" s="487">
        <f t="shared" si="65"/>
        <v>12</v>
      </c>
      <c r="AP147" s="667">
        <v>10</v>
      </c>
    </row>
    <row r="148" spans="1:42" ht="14.25" customHeight="1">
      <c r="A148" s="701">
        <v>142</v>
      </c>
      <c r="B148" s="477"/>
      <c r="C148" s="477" t="s">
        <v>1734</v>
      </c>
      <c r="D148" s="477" t="s">
        <v>1263</v>
      </c>
      <c r="E148" s="475" t="s">
        <v>1453</v>
      </c>
      <c r="F148" s="623" t="s">
        <v>1995</v>
      </c>
      <c r="G148" s="579" t="s">
        <v>1954</v>
      </c>
      <c r="H148" s="482">
        <v>1</v>
      </c>
      <c r="I148" s="580">
        <v>40544</v>
      </c>
      <c r="J148" s="580">
        <v>37681</v>
      </c>
      <c r="K148" s="581">
        <v>100000</v>
      </c>
      <c r="L148" s="581">
        <v>1709.4</v>
      </c>
      <c r="M148" s="582"/>
      <c r="N148" s="582"/>
      <c r="O148" s="582"/>
      <c r="P148" s="582">
        <f t="shared" si="51"/>
        <v>100000</v>
      </c>
      <c r="Q148" s="582">
        <f t="shared" si="52"/>
        <v>1709.4</v>
      </c>
      <c r="R148" s="583">
        <f t="shared" si="53"/>
        <v>68400</v>
      </c>
      <c r="S148" s="668">
        <f>AP148</f>
        <v>10</v>
      </c>
      <c r="T148" s="584">
        <v>4</v>
      </c>
      <c r="U148" s="585">
        <f>IF(S148="",R148,ROUND(R148*(S148-T148)/100,0))</f>
        <v>4104</v>
      </c>
      <c r="V148" s="586">
        <f t="shared" si="54"/>
        <v>140.08000000000001</v>
      </c>
      <c r="W148" s="477"/>
      <c r="X148" s="618">
        <f t="shared" si="67"/>
        <v>100000</v>
      </c>
      <c r="Y148" s="618"/>
      <c r="Z148" s="489">
        <v>80000</v>
      </c>
      <c r="AA148" s="361">
        <f t="shared" si="55"/>
        <v>68376.070000000007</v>
      </c>
      <c r="AB148" s="597"/>
      <c r="AC148" s="485">
        <f t="shared" si="56"/>
        <v>0</v>
      </c>
      <c r="AD148" s="597"/>
      <c r="AE148" s="485">
        <f t="shared" si="57"/>
        <v>0</v>
      </c>
      <c r="AF148" s="508">
        <f t="shared" si="58"/>
        <v>0</v>
      </c>
      <c r="AG148" s="508">
        <f t="shared" si="59"/>
        <v>0</v>
      </c>
      <c r="AH148" s="508">
        <f t="shared" si="60"/>
        <v>80000</v>
      </c>
      <c r="AI148" s="508">
        <f t="shared" si="61"/>
        <v>0</v>
      </c>
      <c r="AJ148" s="508">
        <f t="shared" si="62"/>
        <v>11623.93</v>
      </c>
      <c r="AK148" s="508">
        <f t="shared" si="63"/>
        <v>68400</v>
      </c>
      <c r="AL148" s="116">
        <v>12</v>
      </c>
      <c r="AM148" s="486">
        <f t="shared" si="64"/>
        <v>14.76</v>
      </c>
      <c r="AN148" s="632">
        <v>2</v>
      </c>
      <c r="AO148" s="487">
        <f t="shared" si="65"/>
        <v>12</v>
      </c>
      <c r="AP148" s="667">
        <v>10</v>
      </c>
    </row>
    <row r="149" spans="1:42" ht="14.25" customHeight="1">
      <c r="A149" s="701">
        <v>143</v>
      </c>
      <c r="B149" s="477"/>
      <c r="C149" s="477" t="s">
        <v>1573</v>
      </c>
      <c r="D149" s="477" t="s">
        <v>1264</v>
      </c>
      <c r="E149" s="475" t="s">
        <v>1453</v>
      </c>
      <c r="F149" s="477"/>
      <c r="G149" s="579" t="s">
        <v>1954</v>
      </c>
      <c r="H149" s="482">
        <v>1</v>
      </c>
      <c r="I149" s="580">
        <v>40544</v>
      </c>
      <c r="J149" s="580">
        <v>37681</v>
      </c>
      <c r="K149" s="581">
        <v>150000</v>
      </c>
      <c r="L149" s="581">
        <v>0</v>
      </c>
      <c r="M149" s="582"/>
      <c r="N149" s="582"/>
      <c r="O149" s="582"/>
      <c r="P149" s="582">
        <f t="shared" si="51"/>
        <v>150000</v>
      </c>
      <c r="Q149" s="582">
        <f t="shared" si="52"/>
        <v>0</v>
      </c>
      <c r="R149" s="583">
        <f t="shared" si="53"/>
        <v>102600</v>
      </c>
      <c r="S149" s="668">
        <f>AP149</f>
        <v>10</v>
      </c>
      <c r="T149" s="584">
        <v>4</v>
      </c>
      <c r="U149" s="585">
        <f>IF(S149="",R149,ROUND(R149*(S149-T149)/100,0))</f>
        <v>6156</v>
      </c>
      <c r="V149" s="586" t="str">
        <f t="shared" si="54"/>
        <v/>
      </c>
      <c r="W149" s="611"/>
      <c r="X149" s="618">
        <f t="shared" si="67"/>
        <v>150000</v>
      </c>
      <c r="Y149" s="618"/>
      <c r="Z149" s="489">
        <v>120000</v>
      </c>
      <c r="AA149" s="361">
        <f t="shared" si="55"/>
        <v>102564.1</v>
      </c>
      <c r="AB149" s="597"/>
      <c r="AC149" s="485">
        <f t="shared" si="56"/>
        <v>0</v>
      </c>
      <c r="AD149" s="597"/>
      <c r="AE149" s="485">
        <f t="shared" si="57"/>
        <v>0</v>
      </c>
      <c r="AF149" s="508">
        <f t="shared" si="58"/>
        <v>0</v>
      </c>
      <c r="AG149" s="508">
        <f t="shared" si="59"/>
        <v>0</v>
      </c>
      <c r="AH149" s="508">
        <f t="shared" si="60"/>
        <v>120000</v>
      </c>
      <c r="AI149" s="508">
        <f t="shared" si="61"/>
        <v>0</v>
      </c>
      <c r="AJ149" s="508">
        <f t="shared" si="62"/>
        <v>17435.900000000001</v>
      </c>
      <c r="AK149" s="508">
        <f t="shared" si="63"/>
        <v>102600</v>
      </c>
      <c r="AL149" s="116">
        <v>12</v>
      </c>
      <c r="AM149" s="486">
        <f t="shared" si="64"/>
        <v>14.76</v>
      </c>
      <c r="AN149" s="632">
        <v>2</v>
      </c>
      <c r="AO149" s="487">
        <f t="shared" si="65"/>
        <v>12</v>
      </c>
      <c r="AP149" s="667">
        <v>10</v>
      </c>
    </row>
    <row r="150" spans="1:42" ht="14.25" customHeight="1">
      <c r="A150" s="701">
        <v>144</v>
      </c>
      <c r="B150" s="477"/>
      <c r="C150" s="477" t="s">
        <v>1732</v>
      </c>
      <c r="D150" s="477" t="s">
        <v>1265</v>
      </c>
      <c r="E150" s="475" t="s">
        <v>1453</v>
      </c>
      <c r="F150" s="477"/>
      <c r="G150" s="579" t="s">
        <v>1954</v>
      </c>
      <c r="H150" s="482">
        <v>1</v>
      </c>
      <c r="I150" s="580">
        <v>40544</v>
      </c>
      <c r="J150" s="580">
        <v>37681</v>
      </c>
      <c r="K150" s="581">
        <v>100000</v>
      </c>
      <c r="L150" s="581">
        <v>2564.1</v>
      </c>
      <c r="M150" s="582"/>
      <c r="N150" s="582"/>
      <c r="O150" s="582"/>
      <c r="P150" s="582">
        <f t="shared" si="51"/>
        <v>100000</v>
      </c>
      <c r="Q150" s="582">
        <f t="shared" si="52"/>
        <v>2564.1</v>
      </c>
      <c r="R150" s="583">
        <f t="shared" si="53"/>
        <v>68400</v>
      </c>
      <c r="S150" s="668">
        <f>AP150</f>
        <v>10</v>
      </c>
      <c r="T150" s="584">
        <v>4</v>
      </c>
      <c r="U150" s="585">
        <f>IF(S150="",R150,ROUND(R150*(S150-T150)/100,0))</f>
        <v>4104</v>
      </c>
      <c r="V150" s="586">
        <f t="shared" si="54"/>
        <v>60.06</v>
      </c>
      <c r="W150" s="611"/>
      <c r="X150" s="618">
        <f t="shared" si="67"/>
        <v>100000</v>
      </c>
      <c r="Y150" s="618"/>
      <c r="Z150" s="489">
        <v>80000</v>
      </c>
      <c r="AA150" s="361">
        <f t="shared" si="55"/>
        <v>68376.070000000007</v>
      </c>
      <c r="AB150" s="597"/>
      <c r="AC150" s="485">
        <f t="shared" si="56"/>
        <v>0</v>
      </c>
      <c r="AD150" s="597"/>
      <c r="AE150" s="485">
        <f t="shared" si="57"/>
        <v>0</v>
      </c>
      <c r="AF150" s="508">
        <f t="shared" si="58"/>
        <v>0</v>
      </c>
      <c r="AG150" s="508">
        <f t="shared" si="59"/>
        <v>0</v>
      </c>
      <c r="AH150" s="508">
        <f t="shared" si="60"/>
        <v>80000</v>
      </c>
      <c r="AI150" s="508">
        <f t="shared" si="61"/>
        <v>0</v>
      </c>
      <c r="AJ150" s="508">
        <f t="shared" si="62"/>
        <v>11623.93</v>
      </c>
      <c r="AK150" s="508">
        <f t="shared" si="63"/>
        <v>68400</v>
      </c>
      <c r="AL150" s="116">
        <v>12</v>
      </c>
      <c r="AM150" s="486">
        <f t="shared" si="64"/>
        <v>14.76</v>
      </c>
      <c r="AN150" s="632">
        <v>2</v>
      </c>
      <c r="AO150" s="487">
        <f t="shared" si="65"/>
        <v>12</v>
      </c>
      <c r="AP150" s="667">
        <v>10</v>
      </c>
    </row>
    <row r="151" spans="1:42" ht="14.25" customHeight="1">
      <c r="A151" s="701">
        <v>145</v>
      </c>
      <c r="B151" s="477"/>
      <c r="C151" s="477" t="s">
        <v>1767</v>
      </c>
      <c r="D151" s="477" t="s">
        <v>1266</v>
      </c>
      <c r="E151" s="475" t="s">
        <v>1453</v>
      </c>
      <c r="F151" s="477"/>
      <c r="G151" s="579" t="s">
        <v>1923</v>
      </c>
      <c r="H151" s="482">
        <v>1</v>
      </c>
      <c r="I151" s="580">
        <v>40544</v>
      </c>
      <c r="J151" s="580">
        <v>37681</v>
      </c>
      <c r="K151" s="581">
        <v>80000</v>
      </c>
      <c r="L151" s="581">
        <v>1709.4</v>
      </c>
      <c r="M151" s="582"/>
      <c r="N151" s="582"/>
      <c r="O151" s="582"/>
      <c r="P151" s="582">
        <f t="shared" si="51"/>
        <v>80000</v>
      </c>
      <c r="Q151" s="582">
        <f t="shared" si="52"/>
        <v>1709.4</v>
      </c>
      <c r="R151" s="583">
        <f t="shared" si="53"/>
        <v>100</v>
      </c>
      <c r="S151" s="584"/>
      <c r="T151" s="584">
        <v>3</v>
      </c>
      <c r="U151" s="585">
        <f>ROUND(R151*(1-T151/100),0)</f>
        <v>97</v>
      </c>
      <c r="V151" s="586">
        <f t="shared" si="54"/>
        <v>-94.33</v>
      </c>
      <c r="W151" s="611" t="s">
        <v>2076</v>
      </c>
      <c r="X151" s="618">
        <f t="shared" si="67"/>
        <v>80000</v>
      </c>
      <c r="Y151" s="618"/>
      <c r="Z151" s="617">
        <v>100</v>
      </c>
      <c r="AA151" s="361">
        <f t="shared" si="55"/>
        <v>85.47</v>
      </c>
      <c r="AB151" s="597"/>
      <c r="AC151" s="485">
        <f t="shared" si="56"/>
        <v>0</v>
      </c>
      <c r="AD151" s="597"/>
      <c r="AE151" s="485">
        <f t="shared" si="57"/>
        <v>0</v>
      </c>
      <c r="AF151" s="508">
        <f t="shared" si="58"/>
        <v>0</v>
      </c>
      <c r="AG151" s="508">
        <f t="shared" si="59"/>
        <v>0</v>
      </c>
      <c r="AH151" s="508">
        <f t="shared" si="60"/>
        <v>100</v>
      </c>
      <c r="AI151" s="508">
        <f t="shared" si="61"/>
        <v>0</v>
      </c>
      <c r="AJ151" s="508">
        <f t="shared" si="62"/>
        <v>14.53</v>
      </c>
      <c r="AK151" s="508">
        <f t="shared" si="63"/>
        <v>100</v>
      </c>
      <c r="AM151" s="486">
        <f t="shared" si="64"/>
        <v>14.76</v>
      </c>
      <c r="AN151" s="117">
        <f>ROUND((AL151-AM151),0)</f>
        <v>-15</v>
      </c>
      <c r="AO151" s="487">
        <f t="shared" si="65"/>
        <v>6250</v>
      </c>
      <c r="AP151" s="509"/>
    </row>
    <row r="152" spans="1:42" ht="14.25" customHeight="1">
      <c r="A152" s="701">
        <v>146</v>
      </c>
      <c r="B152" s="477"/>
      <c r="C152" s="477" t="s">
        <v>1686</v>
      </c>
      <c r="D152" s="477" t="s">
        <v>1267</v>
      </c>
      <c r="E152" s="475" t="s">
        <v>1453</v>
      </c>
      <c r="F152" s="477"/>
      <c r="G152" s="579" t="s">
        <v>1923</v>
      </c>
      <c r="H152" s="482">
        <v>1</v>
      </c>
      <c r="I152" s="580">
        <v>40544</v>
      </c>
      <c r="J152" s="580">
        <v>37681</v>
      </c>
      <c r="K152" s="581">
        <v>50000</v>
      </c>
      <c r="L152" s="581">
        <v>0</v>
      </c>
      <c r="M152" s="582"/>
      <c r="N152" s="582"/>
      <c r="O152" s="582"/>
      <c r="P152" s="582">
        <f t="shared" si="51"/>
        <v>50000</v>
      </c>
      <c r="Q152" s="582">
        <f t="shared" si="52"/>
        <v>0</v>
      </c>
      <c r="R152" s="583">
        <f t="shared" si="53"/>
        <v>34200</v>
      </c>
      <c r="S152" s="668">
        <f>AP152</f>
        <v>10</v>
      </c>
      <c r="T152" s="584">
        <v>4</v>
      </c>
      <c r="U152" s="585">
        <f>IF(S152="",R152,ROUND(R152*(S152-T152)/100,0))</f>
        <v>2052</v>
      </c>
      <c r="V152" s="586" t="str">
        <f t="shared" si="54"/>
        <v/>
      </c>
      <c r="W152" s="477"/>
      <c r="X152" s="618">
        <f t="shared" si="67"/>
        <v>50000</v>
      </c>
      <c r="Y152" s="618"/>
      <c r="Z152" s="489">
        <v>40000</v>
      </c>
      <c r="AA152" s="361">
        <f t="shared" si="55"/>
        <v>34188.03</v>
      </c>
      <c r="AB152" s="597"/>
      <c r="AC152" s="485">
        <f t="shared" si="56"/>
        <v>0</v>
      </c>
      <c r="AD152" s="597"/>
      <c r="AE152" s="485">
        <f t="shared" si="57"/>
        <v>0</v>
      </c>
      <c r="AF152" s="508">
        <f t="shared" si="58"/>
        <v>0</v>
      </c>
      <c r="AG152" s="508">
        <f t="shared" si="59"/>
        <v>0</v>
      </c>
      <c r="AH152" s="508">
        <f t="shared" si="60"/>
        <v>40000</v>
      </c>
      <c r="AI152" s="508">
        <f t="shared" si="61"/>
        <v>0</v>
      </c>
      <c r="AJ152" s="508">
        <f t="shared" si="62"/>
        <v>5811.97</v>
      </c>
      <c r="AK152" s="508">
        <f t="shared" si="63"/>
        <v>34200</v>
      </c>
      <c r="AL152" s="116">
        <v>12</v>
      </c>
      <c r="AM152" s="486">
        <f t="shared" si="64"/>
        <v>14.76</v>
      </c>
      <c r="AN152" s="632">
        <v>2</v>
      </c>
      <c r="AO152" s="487">
        <f t="shared" si="65"/>
        <v>12</v>
      </c>
      <c r="AP152" s="667">
        <v>10</v>
      </c>
    </row>
    <row r="153" spans="1:42" ht="14.25" customHeight="1">
      <c r="A153" s="701">
        <v>147</v>
      </c>
      <c r="B153" s="477"/>
      <c r="C153" s="477" t="s">
        <v>1683</v>
      </c>
      <c r="D153" s="477" t="s">
        <v>1268</v>
      </c>
      <c r="E153" s="475" t="s">
        <v>1453</v>
      </c>
      <c r="F153" s="611" t="s">
        <v>2072</v>
      </c>
      <c r="G153" s="579" t="s">
        <v>2302</v>
      </c>
      <c r="H153" s="482">
        <v>1</v>
      </c>
      <c r="I153" s="580">
        <v>40544</v>
      </c>
      <c r="J153" s="580">
        <v>37681</v>
      </c>
      <c r="K153" s="581">
        <v>100000</v>
      </c>
      <c r="L153" s="581">
        <v>854.7</v>
      </c>
      <c r="M153" s="582"/>
      <c r="N153" s="582"/>
      <c r="O153" s="582"/>
      <c r="P153" s="582">
        <f t="shared" si="51"/>
        <v>100000</v>
      </c>
      <c r="Q153" s="582">
        <f t="shared" si="52"/>
        <v>854.7</v>
      </c>
      <c r="R153" s="583">
        <f t="shared" si="53"/>
        <v>68400</v>
      </c>
      <c r="S153" s="668">
        <f>AP153</f>
        <v>10</v>
      </c>
      <c r="T153" s="584">
        <v>4</v>
      </c>
      <c r="U153" s="585">
        <f>IF(S153="",R153,ROUND(R153*(S153-T153)/100,0))</f>
        <v>4104</v>
      </c>
      <c r="V153" s="586">
        <f t="shared" si="54"/>
        <v>380.17</v>
      </c>
      <c r="W153" s="477"/>
      <c r="X153" s="618">
        <f t="shared" si="67"/>
        <v>100000</v>
      </c>
      <c r="Y153" s="618"/>
      <c r="Z153" s="489">
        <v>80000</v>
      </c>
      <c r="AA153" s="361">
        <f t="shared" si="55"/>
        <v>68376.070000000007</v>
      </c>
      <c r="AB153" s="597"/>
      <c r="AC153" s="485">
        <f t="shared" si="56"/>
        <v>0</v>
      </c>
      <c r="AD153" s="597"/>
      <c r="AE153" s="485">
        <f t="shared" si="57"/>
        <v>0</v>
      </c>
      <c r="AF153" s="508">
        <f t="shared" si="58"/>
        <v>0</v>
      </c>
      <c r="AG153" s="508">
        <f t="shared" si="59"/>
        <v>0</v>
      </c>
      <c r="AH153" s="508">
        <f t="shared" si="60"/>
        <v>80000</v>
      </c>
      <c r="AI153" s="508">
        <f t="shared" si="61"/>
        <v>0</v>
      </c>
      <c r="AJ153" s="508">
        <f t="shared" si="62"/>
        <v>11623.93</v>
      </c>
      <c r="AK153" s="508">
        <f t="shared" si="63"/>
        <v>68400</v>
      </c>
      <c r="AL153" s="116">
        <v>12</v>
      </c>
      <c r="AM153" s="486">
        <f t="shared" si="64"/>
        <v>14.76</v>
      </c>
      <c r="AN153" s="632">
        <v>2</v>
      </c>
      <c r="AO153" s="487">
        <f t="shared" si="65"/>
        <v>12</v>
      </c>
      <c r="AP153" s="667">
        <v>10</v>
      </c>
    </row>
    <row r="154" spans="1:42" ht="14.25" customHeight="1">
      <c r="A154" s="701">
        <v>148</v>
      </c>
      <c r="B154" s="477"/>
      <c r="C154" s="477" t="s">
        <v>1651</v>
      </c>
      <c r="D154" s="477" t="s">
        <v>1269</v>
      </c>
      <c r="E154" s="475" t="s">
        <v>1453</v>
      </c>
      <c r="F154" s="477"/>
      <c r="G154" s="579" t="s">
        <v>1923</v>
      </c>
      <c r="H154" s="482">
        <v>1</v>
      </c>
      <c r="I154" s="580">
        <v>40544</v>
      </c>
      <c r="J154" s="580">
        <v>37681</v>
      </c>
      <c r="K154" s="581">
        <v>100000</v>
      </c>
      <c r="L154" s="581">
        <v>0</v>
      </c>
      <c r="M154" s="582"/>
      <c r="N154" s="582"/>
      <c r="O154" s="582"/>
      <c r="P154" s="582">
        <f t="shared" si="51"/>
        <v>100000</v>
      </c>
      <c r="Q154" s="582">
        <f t="shared" si="52"/>
        <v>0</v>
      </c>
      <c r="R154" s="583">
        <f t="shared" si="53"/>
        <v>200</v>
      </c>
      <c r="S154" s="584"/>
      <c r="T154" s="584">
        <v>3</v>
      </c>
      <c r="U154" s="585">
        <f>ROUND(R154*(1-T154/100),0)</f>
        <v>194</v>
      </c>
      <c r="V154" s="586" t="str">
        <f t="shared" si="54"/>
        <v/>
      </c>
      <c r="W154" s="611" t="s">
        <v>2074</v>
      </c>
      <c r="X154" s="618">
        <f t="shared" si="67"/>
        <v>100000</v>
      </c>
      <c r="Y154" s="618"/>
      <c r="Z154" s="617">
        <v>200</v>
      </c>
      <c r="AA154" s="361">
        <f t="shared" si="55"/>
        <v>170.94</v>
      </c>
      <c r="AB154" s="597"/>
      <c r="AC154" s="485">
        <f t="shared" si="56"/>
        <v>0</v>
      </c>
      <c r="AD154" s="597"/>
      <c r="AE154" s="485">
        <f t="shared" si="57"/>
        <v>0</v>
      </c>
      <c r="AF154" s="508">
        <f t="shared" si="58"/>
        <v>0</v>
      </c>
      <c r="AG154" s="508">
        <f t="shared" si="59"/>
        <v>0</v>
      </c>
      <c r="AH154" s="508">
        <f t="shared" si="60"/>
        <v>200</v>
      </c>
      <c r="AI154" s="508">
        <f t="shared" si="61"/>
        <v>0</v>
      </c>
      <c r="AJ154" s="508">
        <f t="shared" si="62"/>
        <v>29.06</v>
      </c>
      <c r="AK154" s="508">
        <f t="shared" si="63"/>
        <v>200</v>
      </c>
      <c r="AL154" s="116">
        <v>10</v>
      </c>
      <c r="AM154" s="486">
        <f t="shared" si="64"/>
        <v>14.76</v>
      </c>
      <c r="AN154" s="117">
        <f>ROUND((AL154-AM154),0)</f>
        <v>-5</v>
      </c>
      <c r="AO154" s="487">
        <f t="shared" si="65"/>
        <v>-51</v>
      </c>
      <c r="AP154" s="509"/>
    </row>
    <row r="155" spans="1:42" ht="14.25" customHeight="1">
      <c r="A155" s="701">
        <v>149</v>
      </c>
      <c r="B155" s="477"/>
      <c r="C155" s="477" t="s">
        <v>1782</v>
      </c>
      <c r="D155" s="477"/>
      <c r="E155" s="475" t="s">
        <v>1453</v>
      </c>
      <c r="F155" s="477"/>
      <c r="G155" s="482" t="s">
        <v>1943</v>
      </c>
      <c r="H155" s="482">
        <v>1</v>
      </c>
      <c r="I155" s="580">
        <v>40544</v>
      </c>
      <c r="J155" s="580">
        <v>37681</v>
      </c>
      <c r="K155" s="581">
        <v>16320</v>
      </c>
      <c r="L155" s="581">
        <v>1632</v>
      </c>
      <c r="M155" s="582"/>
      <c r="N155" s="582"/>
      <c r="O155" s="582"/>
      <c r="P155" s="582">
        <f t="shared" si="51"/>
        <v>16320</v>
      </c>
      <c r="Q155" s="582">
        <f t="shared" si="52"/>
        <v>1632</v>
      </c>
      <c r="R155" s="583">
        <f t="shared" si="53"/>
        <v>100</v>
      </c>
      <c r="S155" s="584"/>
      <c r="T155" s="584">
        <v>3</v>
      </c>
      <c r="U155" s="585">
        <f>ROUND(R155*(1-T155/100),0)</f>
        <v>97</v>
      </c>
      <c r="V155" s="586">
        <f t="shared" si="54"/>
        <v>-94.06</v>
      </c>
      <c r="W155" s="611" t="s">
        <v>2074</v>
      </c>
      <c r="X155" s="618">
        <f t="shared" si="67"/>
        <v>16320</v>
      </c>
      <c r="Y155" s="618"/>
      <c r="Z155" s="617">
        <v>100</v>
      </c>
      <c r="AA155" s="361">
        <f t="shared" si="55"/>
        <v>85.47</v>
      </c>
      <c r="AB155" s="597"/>
      <c r="AC155" s="485">
        <f t="shared" si="56"/>
        <v>0</v>
      </c>
      <c r="AD155" s="597"/>
      <c r="AE155" s="485">
        <f t="shared" si="57"/>
        <v>0</v>
      </c>
      <c r="AF155" s="508">
        <f t="shared" si="58"/>
        <v>0</v>
      </c>
      <c r="AG155" s="508">
        <f t="shared" si="59"/>
        <v>0</v>
      </c>
      <c r="AH155" s="508">
        <f t="shared" si="60"/>
        <v>100</v>
      </c>
      <c r="AI155" s="508">
        <f t="shared" si="61"/>
        <v>0</v>
      </c>
      <c r="AJ155" s="508">
        <f t="shared" si="62"/>
        <v>14.53</v>
      </c>
      <c r="AK155" s="508">
        <f t="shared" si="63"/>
        <v>100</v>
      </c>
      <c r="AM155" s="486">
        <f t="shared" si="64"/>
        <v>14.76</v>
      </c>
      <c r="AN155" s="117">
        <f>ROUND((AL155-AM155),0)</f>
        <v>-15</v>
      </c>
      <c r="AO155" s="487">
        <f t="shared" si="65"/>
        <v>6250</v>
      </c>
      <c r="AP155" s="509"/>
    </row>
    <row r="156" spans="1:42" ht="14.25" customHeight="1">
      <c r="A156" s="701">
        <v>150</v>
      </c>
      <c r="B156" s="477"/>
      <c r="C156" s="477" t="s">
        <v>1745</v>
      </c>
      <c r="D156" s="477" t="s">
        <v>1270</v>
      </c>
      <c r="E156" s="475" t="s">
        <v>1453</v>
      </c>
      <c r="F156" s="611" t="s">
        <v>2066</v>
      </c>
      <c r="G156" s="579" t="s">
        <v>1967</v>
      </c>
      <c r="H156" s="482">
        <v>1</v>
      </c>
      <c r="I156" s="580">
        <v>40544</v>
      </c>
      <c r="J156" s="580">
        <v>37681</v>
      </c>
      <c r="K156" s="581">
        <v>119929</v>
      </c>
      <c r="L156" s="581">
        <v>9860</v>
      </c>
      <c r="M156" s="582"/>
      <c r="N156" s="582"/>
      <c r="O156" s="582"/>
      <c r="P156" s="582">
        <f t="shared" si="51"/>
        <v>119929</v>
      </c>
      <c r="Q156" s="582">
        <f t="shared" si="52"/>
        <v>9860</v>
      </c>
      <c r="R156" s="583">
        <f t="shared" si="53"/>
        <v>200</v>
      </c>
      <c r="S156" s="584"/>
      <c r="T156" s="584">
        <v>3</v>
      </c>
      <c r="U156" s="585">
        <f>ROUND(R156*(1-T156/100),0)</f>
        <v>194</v>
      </c>
      <c r="V156" s="586">
        <f t="shared" si="54"/>
        <v>-98.03</v>
      </c>
      <c r="W156" s="611" t="s">
        <v>2074</v>
      </c>
      <c r="X156" s="618">
        <f t="shared" si="67"/>
        <v>119929</v>
      </c>
      <c r="Y156" s="618"/>
      <c r="Z156" s="617">
        <v>200</v>
      </c>
      <c r="AA156" s="361">
        <f t="shared" si="55"/>
        <v>170.94</v>
      </c>
      <c r="AB156" s="597"/>
      <c r="AC156" s="485">
        <f t="shared" si="56"/>
        <v>0</v>
      </c>
      <c r="AD156" s="597"/>
      <c r="AE156" s="485">
        <f t="shared" si="57"/>
        <v>0</v>
      </c>
      <c r="AF156" s="508">
        <f t="shared" si="58"/>
        <v>0</v>
      </c>
      <c r="AG156" s="508">
        <f t="shared" si="59"/>
        <v>0</v>
      </c>
      <c r="AH156" s="508">
        <f t="shared" si="60"/>
        <v>200</v>
      </c>
      <c r="AI156" s="508">
        <f t="shared" si="61"/>
        <v>0</v>
      </c>
      <c r="AJ156" s="508">
        <f t="shared" si="62"/>
        <v>29.06</v>
      </c>
      <c r="AK156" s="508">
        <f t="shared" si="63"/>
        <v>200</v>
      </c>
      <c r="AM156" s="486">
        <f t="shared" si="64"/>
        <v>14.76</v>
      </c>
      <c r="AN156" s="117">
        <f>ROUND((AL156-AM156),0)</f>
        <v>-15</v>
      </c>
      <c r="AO156" s="487">
        <f t="shared" si="65"/>
        <v>6250</v>
      </c>
      <c r="AP156" s="509"/>
    </row>
    <row r="157" spans="1:42" ht="14.25" customHeight="1">
      <c r="A157" s="701">
        <v>151</v>
      </c>
      <c r="B157" s="477"/>
      <c r="C157" s="477" t="s">
        <v>1644</v>
      </c>
      <c r="D157" s="477" t="s">
        <v>1271</v>
      </c>
      <c r="E157" s="475" t="s">
        <v>1453</v>
      </c>
      <c r="F157" s="611" t="s">
        <v>2016</v>
      </c>
      <c r="G157" s="482" t="s">
        <v>1943</v>
      </c>
      <c r="H157" s="482">
        <v>1</v>
      </c>
      <c r="I157" s="580">
        <v>40544</v>
      </c>
      <c r="J157" s="580">
        <v>37681</v>
      </c>
      <c r="K157" s="581">
        <v>619218.1</v>
      </c>
      <c r="L157" s="581">
        <v>0</v>
      </c>
      <c r="M157" s="582"/>
      <c r="N157" s="582"/>
      <c r="O157" s="582"/>
      <c r="P157" s="582">
        <f t="shared" si="51"/>
        <v>619218.1</v>
      </c>
      <c r="Q157" s="582">
        <f t="shared" si="52"/>
        <v>0</v>
      </c>
      <c r="R157" s="583">
        <f t="shared" si="53"/>
        <v>488000</v>
      </c>
      <c r="S157" s="668">
        <f>AP157</f>
        <v>10</v>
      </c>
      <c r="T157" s="584">
        <v>3</v>
      </c>
      <c r="U157" s="585">
        <f>IF(S157="",R157,ROUND(R157*(S157-T157)/100,0))</f>
        <v>34160</v>
      </c>
      <c r="V157" s="586" t="str">
        <f t="shared" si="54"/>
        <v/>
      </c>
      <c r="W157" s="477"/>
      <c r="X157" s="618">
        <f t="shared" si="67"/>
        <v>619218.1</v>
      </c>
      <c r="Y157" s="618"/>
      <c r="Z157" s="624">
        <v>571000</v>
      </c>
      <c r="AA157" s="361">
        <f t="shared" si="55"/>
        <v>488034.19</v>
      </c>
      <c r="AB157" s="597"/>
      <c r="AC157" s="485">
        <f t="shared" si="56"/>
        <v>0</v>
      </c>
      <c r="AD157" s="597"/>
      <c r="AE157" s="485">
        <f t="shared" si="57"/>
        <v>0</v>
      </c>
      <c r="AF157" s="508">
        <f t="shared" si="58"/>
        <v>0</v>
      </c>
      <c r="AG157" s="508">
        <f t="shared" si="59"/>
        <v>0</v>
      </c>
      <c r="AH157" s="508">
        <f t="shared" si="60"/>
        <v>571000</v>
      </c>
      <c r="AI157" s="508">
        <f t="shared" si="61"/>
        <v>0</v>
      </c>
      <c r="AJ157" s="508">
        <f t="shared" si="62"/>
        <v>82965.81</v>
      </c>
      <c r="AK157" s="508">
        <f t="shared" si="63"/>
        <v>488000</v>
      </c>
      <c r="AL157" s="116">
        <v>12</v>
      </c>
      <c r="AM157" s="486">
        <f t="shared" si="64"/>
        <v>14.76</v>
      </c>
      <c r="AN157" s="632">
        <v>2</v>
      </c>
      <c r="AO157" s="487">
        <f t="shared" si="65"/>
        <v>12</v>
      </c>
      <c r="AP157" s="667">
        <v>10</v>
      </c>
    </row>
    <row r="158" spans="1:42" ht="14.25" customHeight="1">
      <c r="A158" s="701">
        <v>152</v>
      </c>
      <c r="B158" s="477"/>
      <c r="C158" s="477" t="s">
        <v>1645</v>
      </c>
      <c r="D158" s="477"/>
      <c r="E158" s="475" t="s">
        <v>1453</v>
      </c>
      <c r="F158" s="611" t="s">
        <v>2016</v>
      </c>
      <c r="G158" s="579" t="s">
        <v>1923</v>
      </c>
      <c r="H158" s="482">
        <v>1</v>
      </c>
      <c r="I158" s="580">
        <v>40544</v>
      </c>
      <c r="J158" s="580">
        <v>37681</v>
      </c>
      <c r="K158" s="581">
        <v>6160</v>
      </c>
      <c r="L158" s="581">
        <v>0</v>
      </c>
      <c r="M158" s="582"/>
      <c r="N158" s="582"/>
      <c r="O158" s="582"/>
      <c r="P158" s="582">
        <f t="shared" si="51"/>
        <v>6160</v>
      </c>
      <c r="Q158" s="582">
        <f t="shared" si="52"/>
        <v>0</v>
      </c>
      <c r="R158" s="583">
        <f t="shared" si="53"/>
        <v>100</v>
      </c>
      <c r="S158" s="584"/>
      <c r="T158" s="584">
        <v>4</v>
      </c>
      <c r="U158" s="585">
        <f>ROUND(R158*(1-T158/100),0)</f>
        <v>96</v>
      </c>
      <c r="V158" s="586" t="str">
        <f t="shared" si="54"/>
        <v/>
      </c>
      <c r="W158" s="477"/>
      <c r="X158" s="618">
        <f t="shared" si="67"/>
        <v>6160</v>
      </c>
      <c r="Y158" s="618"/>
      <c r="Z158" s="489">
        <v>100</v>
      </c>
      <c r="AA158" s="361">
        <f t="shared" si="55"/>
        <v>85.47</v>
      </c>
      <c r="AB158" s="597"/>
      <c r="AC158" s="485">
        <f t="shared" si="56"/>
        <v>0</v>
      </c>
      <c r="AD158" s="597"/>
      <c r="AE158" s="485">
        <f t="shared" si="57"/>
        <v>0</v>
      </c>
      <c r="AF158" s="508">
        <f t="shared" si="58"/>
        <v>0</v>
      </c>
      <c r="AG158" s="508">
        <f t="shared" si="59"/>
        <v>0</v>
      </c>
      <c r="AH158" s="508">
        <f t="shared" si="60"/>
        <v>100</v>
      </c>
      <c r="AI158" s="508">
        <f t="shared" si="61"/>
        <v>0</v>
      </c>
      <c r="AJ158" s="508">
        <f t="shared" si="62"/>
        <v>14.53</v>
      </c>
      <c r="AK158" s="508">
        <f t="shared" si="63"/>
        <v>100</v>
      </c>
      <c r="AL158" s="116">
        <v>12</v>
      </c>
      <c r="AM158" s="486">
        <f t="shared" si="64"/>
        <v>14.76</v>
      </c>
      <c r="AN158" s="117">
        <f>ROUND((AL158-AM158),0)</f>
        <v>-3</v>
      </c>
      <c r="AO158" s="487">
        <f t="shared" si="65"/>
        <v>-26</v>
      </c>
      <c r="AP158" s="509"/>
    </row>
    <row r="159" spans="1:42" ht="14.25" customHeight="1">
      <c r="A159" s="701">
        <v>153</v>
      </c>
      <c r="B159" s="477"/>
      <c r="C159" s="477" t="s">
        <v>1680</v>
      </c>
      <c r="D159" s="477"/>
      <c r="E159" s="475" t="s">
        <v>1453</v>
      </c>
      <c r="F159" s="623" t="s">
        <v>1995</v>
      </c>
      <c r="G159" s="482" t="s">
        <v>1943</v>
      </c>
      <c r="H159" s="482">
        <v>1</v>
      </c>
      <c r="I159" s="580">
        <v>40544</v>
      </c>
      <c r="J159" s="580">
        <v>37681</v>
      </c>
      <c r="K159" s="581">
        <v>100000</v>
      </c>
      <c r="L159" s="581">
        <v>0</v>
      </c>
      <c r="M159" s="582"/>
      <c r="N159" s="582"/>
      <c r="O159" s="582"/>
      <c r="P159" s="582">
        <f t="shared" si="51"/>
        <v>100000</v>
      </c>
      <c r="Q159" s="582">
        <f t="shared" si="52"/>
        <v>0</v>
      </c>
      <c r="R159" s="583">
        <f t="shared" si="53"/>
        <v>102600</v>
      </c>
      <c r="S159" s="668">
        <f>AP159</f>
        <v>10</v>
      </c>
      <c r="T159" s="584">
        <v>3</v>
      </c>
      <c r="U159" s="585">
        <f>IF(S159="",R159,ROUND(R159*(S159-T159)/100,0))</f>
        <v>7182</v>
      </c>
      <c r="V159" s="586" t="str">
        <f t="shared" si="54"/>
        <v/>
      </c>
      <c r="W159" s="477"/>
      <c r="X159" s="618">
        <f t="shared" si="67"/>
        <v>100000</v>
      </c>
      <c r="Y159" s="618"/>
      <c r="Z159" s="489">
        <v>120000</v>
      </c>
      <c r="AA159" s="361">
        <f t="shared" si="55"/>
        <v>102564.1</v>
      </c>
      <c r="AB159" s="597"/>
      <c r="AC159" s="485">
        <f t="shared" si="56"/>
        <v>0</v>
      </c>
      <c r="AD159" s="597"/>
      <c r="AE159" s="485">
        <f t="shared" si="57"/>
        <v>0</v>
      </c>
      <c r="AF159" s="508">
        <f t="shared" si="58"/>
        <v>0</v>
      </c>
      <c r="AG159" s="508">
        <f t="shared" si="59"/>
        <v>0</v>
      </c>
      <c r="AH159" s="508">
        <f t="shared" si="60"/>
        <v>120000</v>
      </c>
      <c r="AI159" s="508">
        <f t="shared" si="61"/>
        <v>0</v>
      </c>
      <c r="AJ159" s="508">
        <f t="shared" si="62"/>
        <v>17435.900000000001</v>
      </c>
      <c r="AK159" s="508">
        <f t="shared" si="63"/>
        <v>102600</v>
      </c>
      <c r="AL159" s="116">
        <v>12</v>
      </c>
      <c r="AM159" s="486">
        <f t="shared" si="64"/>
        <v>14.76</v>
      </c>
      <c r="AN159" s="632">
        <v>2</v>
      </c>
      <c r="AO159" s="487">
        <f t="shared" si="65"/>
        <v>12</v>
      </c>
      <c r="AP159" s="667">
        <v>10</v>
      </c>
    </row>
    <row r="160" spans="1:42" ht="14.25" customHeight="1">
      <c r="A160" s="701">
        <v>154</v>
      </c>
      <c r="B160" s="477"/>
      <c r="C160" s="611" t="s">
        <v>2314</v>
      </c>
      <c r="D160" s="477" t="s">
        <v>1272</v>
      </c>
      <c r="E160" s="475" t="s">
        <v>1453</v>
      </c>
      <c r="F160" s="623" t="s">
        <v>1995</v>
      </c>
      <c r="G160" s="482" t="s">
        <v>1943</v>
      </c>
      <c r="H160" s="482">
        <v>1</v>
      </c>
      <c r="I160" s="580">
        <v>40544</v>
      </c>
      <c r="J160" s="580">
        <v>37681</v>
      </c>
      <c r="K160" s="581">
        <v>1147772.1599999999</v>
      </c>
      <c r="L160" s="581">
        <v>0</v>
      </c>
      <c r="M160" s="704" t="s">
        <v>2346</v>
      </c>
      <c r="N160" s="582"/>
      <c r="O160" s="582"/>
      <c r="P160" s="582">
        <f t="shared" si="51"/>
        <v>1147772.1599999999</v>
      </c>
      <c r="Q160" s="582">
        <f t="shared" si="52"/>
        <v>0</v>
      </c>
      <c r="R160" s="583">
        <f t="shared" si="53"/>
        <v>812000</v>
      </c>
      <c r="S160" s="668">
        <f>AP160</f>
        <v>10</v>
      </c>
      <c r="T160" s="584">
        <v>3</v>
      </c>
      <c r="U160" s="585">
        <f>IF(S160="",R160,ROUND(R160*(S160-T160)/100,0))</f>
        <v>56840</v>
      </c>
      <c r="V160" s="586" t="str">
        <f t="shared" si="54"/>
        <v/>
      </c>
      <c r="W160" s="477"/>
      <c r="X160" s="618">
        <f t="shared" si="67"/>
        <v>1147772.1599999999</v>
      </c>
      <c r="Y160" s="618"/>
      <c r="Z160" s="624">
        <v>950000</v>
      </c>
      <c r="AA160" s="361">
        <f t="shared" si="55"/>
        <v>811965.81</v>
      </c>
      <c r="AB160" s="597"/>
      <c r="AC160" s="485">
        <f t="shared" si="56"/>
        <v>0</v>
      </c>
      <c r="AD160" s="597"/>
      <c r="AE160" s="485">
        <f t="shared" si="57"/>
        <v>0</v>
      </c>
      <c r="AF160" s="508">
        <f t="shared" si="58"/>
        <v>0</v>
      </c>
      <c r="AG160" s="508">
        <f t="shared" si="59"/>
        <v>0</v>
      </c>
      <c r="AH160" s="508">
        <f t="shared" si="60"/>
        <v>950000</v>
      </c>
      <c r="AI160" s="508">
        <f t="shared" si="61"/>
        <v>0</v>
      </c>
      <c r="AJ160" s="508">
        <f t="shared" si="62"/>
        <v>138034.19</v>
      </c>
      <c r="AK160" s="508">
        <f t="shared" si="63"/>
        <v>812000</v>
      </c>
      <c r="AL160" s="116">
        <v>14</v>
      </c>
      <c r="AM160" s="486">
        <f t="shared" si="64"/>
        <v>14.76</v>
      </c>
      <c r="AN160" s="632">
        <v>2</v>
      </c>
      <c r="AO160" s="487">
        <f t="shared" si="65"/>
        <v>12</v>
      </c>
      <c r="AP160" s="667">
        <v>10</v>
      </c>
    </row>
    <row r="161" spans="1:42" ht="14.25" customHeight="1">
      <c r="A161" s="701">
        <v>155</v>
      </c>
      <c r="B161" s="477"/>
      <c r="C161" s="477" t="s">
        <v>1560</v>
      </c>
      <c r="D161" s="477" t="s">
        <v>1273</v>
      </c>
      <c r="E161" s="475" t="s">
        <v>1453</v>
      </c>
      <c r="F161" s="477"/>
      <c r="G161" s="482" t="s">
        <v>1943</v>
      </c>
      <c r="H161" s="482">
        <v>1</v>
      </c>
      <c r="I161" s="580">
        <v>40544</v>
      </c>
      <c r="J161" s="580">
        <v>37681</v>
      </c>
      <c r="K161" s="581">
        <v>3000</v>
      </c>
      <c r="L161" s="581">
        <v>0</v>
      </c>
      <c r="M161" s="582"/>
      <c r="N161" s="582"/>
      <c r="O161" s="582"/>
      <c r="P161" s="582">
        <f t="shared" si="51"/>
        <v>3000</v>
      </c>
      <c r="Q161" s="582">
        <f t="shared" si="52"/>
        <v>0</v>
      </c>
      <c r="R161" s="583">
        <f t="shared" si="53"/>
        <v>100</v>
      </c>
      <c r="S161" s="584"/>
      <c r="T161" s="584">
        <v>3</v>
      </c>
      <c r="U161" s="585">
        <f t="shared" ref="U161:U170" si="68">ROUND(R161*(1-T161/100),0)</f>
        <v>97</v>
      </c>
      <c r="V161" s="586" t="str">
        <f t="shared" si="54"/>
        <v/>
      </c>
      <c r="W161" s="611" t="s">
        <v>2074</v>
      </c>
      <c r="X161" s="618">
        <f t="shared" si="67"/>
        <v>3000</v>
      </c>
      <c r="Y161" s="618"/>
      <c r="Z161" s="617">
        <v>100</v>
      </c>
      <c r="AA161" s="361">
        <f t="shared" si="55"/>
        <v>85.47</v>
      </c>
      <c r="AB161" s="597"/>
      <c r="AC161" s="485">
        <f t="shared" si="56"/>
        <v>0</v>
      </c>
      <c r="AD161" s="597"/>
      <c r="AE161" s="485">
        <f t="shared" si="57"/>
        <v>0</v>
      </c>
      <c r="AF161" s="508">
        <f t="shared" si="58"/>
        <v>0</v>
      </c>
      <c r="AG161" s="508">
        <f t="shared" si="59"/>
        <v>0</v>
      </c>
      <c r="AH161" s="508">
        <f t="shared" si="60"/>
        <v>100</v>
      </c>
      <c r="AI161" s="508">
        <f t="shared" si="61"/>
        <v>0</v>
      </c>
      <c r="AJ161" s="508">
        <f t="shared" si="62"/>
        <v>14.53</v>
      </c>
      <c r="AK161" s="508">
        <f t="shared" si="63"/>
        <v>100</v>
      </c>
      <c r="AL161" s="116">
        <v>8</v>
      </c>
      <c r="AM161" s="486">
        <f t="shared" si="64"/>
        <v>14.76</v>
      </c>
      <c r="AN161" s="117">
        <f t="shared" ref="AN161:AN208" si="69">ROUND((AL161-AM161),0)</f>
        <v>-7</v>
      </c>
      <c r="AO161" s="487">
        <f t="shared" si="65"/>
        <v>-90</v>
      </c>
      <c r="AP161" s="509"/>
    </row>
    <row r="162" spans="1:42" ht="14.25" customHeight="1">
      <c r="A162" s="701">
        <v>156</v>
      </c>
      <c r="B162" s="477"/>
      <c r="C162" s="477" t="s">
        <v>1761</v>
      </c>
      <c r="D162" s="477" t="s">
        <v>1274</v>
      </c>
      <c r="E162" s="475" t="s">
        <v>1453</v>
      </c>
      <c r="F162" s="477"/>
      <c r="G162" s="482" t="s">
        <v>1947</v>
      </c>
      <c r="H162" s="482">
        <v>1</v>
      </c>
      <c r="I162" s="580">
        <v>40544</v>
      </c>
      <c r="J162" s="580">
        <v>37681</v>
      </c>
      <c r="K162" s="581">
        <v>2293.4499999999998</v>
      </c>
      <c r="L162" s="581">
        <v>0</v>
      </c>
      <c r="M162" s="582"/>
      <c r="N162" s="582"/>
      <c r="O162" s="582"/>
      <c r="P162" s="582">
        <f t="shared" si="51"/>
        <v>2293.4499999999998</v>
      </c>
      <c r="Q162" s="582">
        <f t="shared" si="52"/>
        <v>0</v>
      </c>
      <c r="R162" s="583">
        <f t="shared" si="53"/>
        <v>0</v>
      </c>
      <c r="S162" s="584"/>
      <c r="T162" s="584"/>
      <c r="U162" s="585">
        <f t="shared" si="68"/>
        <v>0</v>
      </c>
      <c r="V162" s="586" t="str">
        <f t="shared" si="54"/>
        <v/>
      </c>
      <c r="W162" s="611" t="s">
        <v>2074</v>
      </c>
      <c r="X162" s="618">
        <f t="shared" si="67"/>
        <v>2293.4499999999998</v>
      </c>
      <c r="Y162" s="618"/>
      <c r="Z162" s="617">
        <v>0</v>
      </c>
      <c r="AA162" s="361">
        <f t="shared" si="55"/>
        <v>0</v>
      </c>
      <c r="AB162" s="597"/>
      <c r="AC162" s="485">
        <f t="shared" si="56"/>
        <v>0</v>
      </c>
      <c r="AD162" s="597"/>
      <c r="AE162" s="485">
        <f t="shared" si="57"/>
        <v>0</v>
      </c>
      <c r="AF162" s="508">
        <f t="shared" si="58"/>
        <v>0</v>
      </c>
      <c r="AG162" s="508">
        <f t="shared" si="59"/>
        <v>0</v>
      </c>
      <c r="AH162" s="508">
        <f t="shared" si="60"/>
        <v>0</v>
      </c>
      <c r="AI162" s="508">
        <f t="shared" si="61"/>
        <v>0</v>
      </c>
      <c r="AJ162" s="508">
        <f t="shared" si="62"/>
        <v>0</v>
      </c>
      <c r="AK162" s="508">
        <f t="shared" si="63"/>
        <v>0</v>
      </c>
      <c r="AM162" s="486">
        <f t="shared" si="64"/>
        <v>14.76</v>
      </c>
      <c r="AN162" s="117">
        <f t="shared" si="69"/>
        <v>-15</v>
      </c>
      <c r="AO162" s="487">
        <f t="shared" si="65"/>
        <v>6250</v>
      </c>
      <c r="AP162" s="509"/>
    </row>
    <row r="163" spans="1:42" ht="14.25" customHeight="1">
      <c r="A163" s="701">
        <v>157</v>
      </c>
      <c r="B163" s="477"/>
      <c r="C163" s="477" t="s">
        <v>1602</v>
      </c>
      <c r="D163" s="477" t="s">
        <v>1275</v>
      </c>
      <c r="E163" s="475" t="s">
        <v>1453</v>
      </c>
      <c r="F163" s="477"/>
      <c r="G163" s="482" t="s">
        <v>1947</v>
      </c>
      <c r="H163" s="482">
        <v>1</v>
      </c>
      <c r="I163" s="580">
        <v>40544</v>
      </c>
      <c r="J163" s="580">
        <v>37681</v>
      </c>
      <c r="K163" s="581">
        <v>4831.55</v>
      </c>
      <c r="L163" s="581">
        <v>0</v>
      </c>
      <c r="M163" s="582"/>
      <c r="N163" s="582"/>
      <c r="O163" s="582"/>
      <c r="P163" s="582">
        <f t="shared" si="51"/>
        <v>4831.55</v>
      </c>
      <c r="Q163" s="582">
        <f t="shared" si="52"/>
        <v>0</v>
      </c>
      <c r="R163" s="583">
        <f t="shared" si="53"/>
        <v>0</v>
      </c>
      <c r="S163" s="584"/>
      <c r="T163" s="584"/>
      <c r="U163" s="585">
        <f t="shared" si="68"/>
        <v>0</v>
      </c>
      <c r="V163" s="586" t="str">
        <f t="shared" si="54"/>
        <v/>
      </c>
      <c r="W163" s="611" t="s">
        <v>2074</v>
      </c>
      <c r="X163" s="618">
        <f t="shared" si="67"/>
        <v>4831.55</v>
      </c>
      <c r="Y163" s="618"/>
      <c r="Z163" s="617">
        <v>0</v>
      </c>
      <c r="AA163" s="361">
        <f t="shared" si="55"/>
        <v>0</v>
      </c>
      <c r="AB163" s="597"/>
      <c r="AC163" s="485">
        <f t="shared" si="56"/>
        <v>0</v>
      </c>
      <c r="AD163" s="597"/>
      <c r="AE163" s="485">
        <f t="shared" si="57"/>
        <v>0</v>
      </c>
      <c r="AF163" s="508">
        <f t="shared" si="58"/>
        <v>0</v>
      </c>
      <c r="AG163" s="508">
        <f t="shared" si="59"/>
        <v>0</v>
      </c>
      <c r="AH163" s="508">
        <f t="shared" si="60"/>
        <v>0</v>
      </c>
      <c r="AI163" s="508">
        <f t="shared" si="61"/>
        <v>0</v>
      </c>
      <c r="AJ163" s="508">
        <f t="shared" si="62"/>
        <v>0</v>
      </c>
      <c r="AK163" s="508">
        <f t="shared" si="63"/>
        <v>0</v>
      </c>
      <c r="AL163" s="116">
        <v>6</v>
      </c>
      <c r="AM163" s="486">
        <f t="shared" si="64"/>
        <v>14.76</v>
      </c>
      <c r="AN163" s="117">
        <f t="shared" si="69"/>
        <v>-9</v>
      </c>
      <c r="AO163" s="487">
        <f t="shared" si="65"/>
        <v>-156</v>
      </c>
      <c r="AP163" s="509"/>
    </row>
    <row r="164" spans="1:42" ht="14.25" customHeight="1">
      <c r="A164" s="701">
        <v>158</v>
      </c>
      <c r="B164" s="477"/>
      <c r="C164" s="671" t="s">
        <v>2317</v>
      </c>
      <c r="D164" s="477" t="s">
        <v>2319</v>
      </c>
      <c r="E164" s="475" t="s">
        <v>1453</v>
      </c>
      <c r="F164" s="611" t="s">
        <v>2028</v>
      </c>
      <c r="G164" s="482" t="s">
        <v>1943</v>
      </c>
      <c r="H164" s="482">
        <v>1</v>
      </c>
      <c r="I164" s="580">
        <v>40544</v>
      </c>
      <c r="J164" s="580">
        <v>37681</v>
      </c>
      <c r="K164" s="581">
        <v>763031.03</v>
      </c>
      <c r="L164" s="581">
        <v>427.35</v>
      </c>
      <c r="M164" s="582"/>
      <c r="N164" s="582"/>
      <c r="O164" s="582"/>
      <c r="P164" s="582">
        <f t="shared" si="51"/>
        <v>763031.03</v>
      </c>
      <c r="Q164" s="582">
        <f t="shared" si="52"/>
        <v>427.35</v>
      </c>
      <c r="R164" s="583">
        <f t="shared" si="53"/>
        <v>17800</v>
      </c>
      <c r="S164" s="584"/>
      <c r="T164" s="584">
        <v>5</v>
      </c>
      <c r="U164" s="585">
        <f t="shared" si="68"/>
        <v>16910</v>
      </c>
      <c r="V164" s="586">
        <f t="shared" si="54"/>
        <v>3856.94</v>
      </c>
      <c r="W164" s="611" t="s">
        <v>2076</v>
      </c>
      <c r="X164" s="618">
        <f t="shared" si="67"/>
        <v>763031.03</v>
      </c>
      <c r="Y164" s="618">
        <v>16</v>
      </c>
      <c r="Z164" s="617">
        <f>Z$4*Y164</f>
        <v>20800</v>
      </c>
      <c r="AA164" s="361">
        <f t="shared" si="55"/>
        <v>17777.78</v>
      </c>
      <c r="AB164" s="597"/>
      <c r="AC164" s="485">
        <f t="shared" si="56"/>
        <v>0</v>
      </c>
      <c r="AD164" s="597"/>
      <c r="AE164" s="485">
        <f t="shared" si="57"/>
        <v>0</v>
      </c>
      <c r="AF164" s="508">
        <f t="shared" si="58"/>
        <v>0</v>
      </c>
      <c r="AG164" s="508">
        <f t="shared" si="59"/>
        <v>0</v>
      </c>
      <c r="AH164" s="508">
        <f t="shared" si="60"/>
        <v>20800</v>
      </c>
      <c r="AI164" s="508">
        <f t="shared" si="61"/>
        <v>0</v>
      </c>
      <c r="AJ164" s="508">
        <f t="shared" si="62"/>
        <v>3022.22</v>
      </c>
      <c r="AK164" s="508">
        <f t="shared" si="63"/>
        <v>17800</v>
      </c>
      <c r="AM164" s="486">
        <f t="shared" si="64"/>
        <v>14.76</v>
      </c>
      <c r="AN164" s="117">
        <f t="shared" si="69"/>
        <v>-15</v>
      </c>
      <c r="AO164" s="487">
        <f t="shared" si="65"/>
        <v>6250</v>
      </c>
      <c r="AP164" s="509"/>
    </row>
    <row r="165" spans="1:42" ht="14.25" customHeight="1">
      <c r="A165" s="701">
        <v>159</v>
      </c>
      <c r="B165" s="477"/>
      <c r="C165" s="477" t="s">
        <v>1607</v>
      </c>
      <c r="D165" s="477"/>
      <c r="E165" s="475" t="s">
        <v>1453</v>
      </c>
      <c r="F165" s="611" t="s">
        <v>2005</v>
      </c>
      <c r="G165" s="579" t="s">
        <v>1923</v>
      </c>
      <c r="H165" s="482">
        <v>1</v>
      </c>
      <c r="I165" s="580">
        <v>41088</v>
      </c>
      <c r="J165" s="580">
        <v>41088</v>
      </c>
      <c r="K165" s="581">
        <v>15000</v>
      </c>
      <c r="L165" s="581">
        <v>1709.4</v>
      </c>
      <c r="M165" s="582"/>
      <c r="N165" s="582"/>
      <c r="O165" s="582"/>
      <c r="P165" s="582">
        <f t="shared" si="51"/>
        <v>15000</v>
      </c>
      <c r="Q165" s="582">
        <f t="shared" si="52"/>
        <v>1709.4</v>
      </c>
      <c r="R165" s="583">
        <f t="shared" si="53"/>
        <v>0</v>
      </c>
      <c r="S165" s="584"/>
      <c r="T165" s="584">
        <v>4</v>
      </c>
      <c r="U165" s="585">
        <f t="shared" si="68"/>
        <v>0</v>
      </c>
      <c r="V165" s="586">
        <f t="shared" si="54"/>
        <v>-100</v>
      </c>
      <c r="W165" s="611" t="s">
        <v>2079</v>
      </c>
      <c r="X165" s="618">
        <f t="shared" si="67"/>
        <v>15000</v>
      </c>
      <c r="Y165" s="618"/>
      <c r="Z165" s="617">
        <v>0</v>
      </c>
      <c r="AA165" s="361">
        <f t="shared" si="55"/>
        <v>0</v>
      </c>
      <c r="AB165" s="597"/>
      <c r="AC165" s="485">
        <f t="shared" si="56"/>
        <v>0</v>
      </c>
      <c r="AD165" s="597"/>
      <c r="AE165" s="485">
        <f t="shared" si="57"/>
        <v>0</v>
      </c>
      <c r="AF165" s="508">
        <f t="shared" si="58"/>
        <v>0</v>
      </c>
      <c r="AG165" s="508">
        <f t="shared" si="59"/>
        <v>0</v>
      </c>
      <c r="AH165" s="508">
        <f t="shared" si="60"/>
        <v>0</v>
      </c>
      <c r="AI165" s="508">
        <f t="shared" si="61"/>
        <v>0</v>
      </c>
      <c r="AJ165" s="508">
        <f t="shared" si="62"/>
        <v>0</v>
      </c>
      <c r="AK165" s="508">
        <f t="shared" si="63"/>
        <v>0</v>
      </c>
      <c r="AL165" s="116">
        <v>10</v>
      </c>
      <c r="AM165" s="486">
        <f t="shared" si="64"/>
        <v>5.43</v>
      </c>
      <c r="AN165" s="117">
        <f t="shared" si="69"/>
        <v>5</v>
      </c>
      <c r="AO165" s="487">
        <f t="shared" si="65"/>
        <v>48</v>
      </c>
      <c r="AP165" s="509"/>
    </row>
    <row r="166" spans="1:42" ht="14.25" customHeight="1">
      <c r="A166" s="701">
        <v>160</v>
      </c>
      <c r="B166" s="477"/>
      <c r="C166" s="477" t="s">
        <v>1697</v>
      </c>
      <c r="D166" s="477"/>
      <c r="E166" s="475" t="s">
        <v>1453</v>
      </c>
      <c r="F166" s="611" t="s">
        <v>2005</v>
      </c>
      <c r="G166" s="579" t="s">
        <v>1971</v>
      </c>
      <c r="H166" s="482">
        <v>1</v>
      </c>
      <c r="I166" s="580">
        <v>40544</v>
      </c>
      <c r="J166" s="580">
        <v>37681</v>
      </c>
      <c r="K166" s="581">
        <v>49000</v>
      </c>
      <c r="L166" s="581">
        <v>427.35</v>
      </c>
      <c r="M166" s="582"/>
      <c r="N166" s="582"/>
      <c r="O166" s="582"/>
      <c r="P166" s="582">
        <f t="shared" si="51"/>
        <v>49000</v>
      </c>
      <c r="Q166" s="582">
        <f t="shared" si="52"/>
        <v>427.35</v>
      </c>
      <c r="R166" s="583">
        <f t="shared" si="53"/>
        <v>200</v>
      </c>
      <c r="S166" s="584"/>
      <c r="T166" s="584">
        <v>3</v>
      </c>
      <c r="U166" s="585">
        <f t="shared" si="68"/>
        <v>194</v>
      </c>
      <c r="V166" s="586">
        <f t="shared" si="54"/>
        <v>-54.6</v>
      </c>
      <c r="W166" s="611" t="s">
        <v>2074</v>
      </c>
      <c r="X166" s="618">
        <f t="shared" si="67"/>
        <v>49000</v>
      </c>
      <c r="Y166" s="618"/>
      <c r="Z166" s="617">
        <v>200</v>
      </c>
      <c r="AA166" s="361">
        <f t="shared" si="55"/>
        <v>170.94</v>
      </c>
      <c r="AB166" s="597"/>
      <c r="AC166" s="485">
        <f t="shared" si="56"/>
        <v>0</v>
      </c>
      <c r="AD166" s="597"/>
      <c r="AE166" s="485">
        <f t="shared" si="57"/>
        <v>0</v>
      </c>
      <c r="AF166" s="508">
        <f t="shared" si="58"/>
        <v>0</v>
      </c>
      <c r="AG166" s="508">
        <f t="shared" si="59"/>
        <v>0</v>
      </c>
      <c r="AH166" s="508">
        <f t="shared" si="60"/>
        <v>200</v>
      </c>
      <c r="AI166" s="508">
        <f t="shared" si="61"/>
        <v>0</v>
      </c>
      <c r="AJ166" s="508">
        <f t="shared" si="62"/>
        <v>29.06</v>
      </c>
      <c r="AK166" s="508">
        <f t="shared" si="63"/>
        <v>200</v>
      </c>
      <c r="AM166" s="486">
        <f t="shared" si="64"/>
        <v>14.76</v>
      </c>
      <c r="AN166" s="117">
        <f t="shared" si="69"/>
        <v>-15</v>
      </c>
      <c r="AO166" s="487">
        <f t="shared" si="65"/>
        <v>6250</v>
      </c>
      <c r="AP166" s="509"/>
    </row>
    <row r="167" spans="1:42" ht="14.25" customHeight="1">
      <c r="A167" s="701">
        <v>161</v>
      </c>
      <c r="B167" s="477"/>
      <c r="C167" s="477" t="s">
        <v>1759</v>
      </c>
      <c r="D167" s="477"/>
      <c r="E167" s="475" t="s">
        <v>1453</v>
      </c>
      <c r="F167" s="611" t="s">
        <v>2005</v>
      </c>
      <c r="G167" s="482" t="s">
        <v>1943</v>
      </c>
      <c r="H167" s="482">
        <v>1</v>
      </c>
      <c r="I167" s="580">
        <v>40544</v>
      </c>
      <c r="J167" s="580">
        <v>37681</v>
      </c>
      <c r="K167" s="581">
        <v>5000</v>
      </c>
      <c r="L167" s="581">
        <v>0</v>
      </c>
      <c r="M167" s="582"/>
      <c r="N167" s="582"/>
      <c r="O167" s="582"/>
      <c r="P167" s="582">
        <f t="shared" si="51"/>
        <v>5000</v>
      </c>
      <c r="Q167" s="582">
        <f t="shared" si="52"/>
        <v>0</v>
      </c>
      <c r="R167" s="583">
        <f t="shared" si="53"/>
        <v>100</v>
      </c>
      <c r="S167" s="584"/>
      <c r="T167" s="584">
        <v>3</v>
      </c>
      <c r="U167" s="585">
        <f t="shared" si="68"/>
        <v>97</v>
      </c>
      <c r="V167" s="586" t="str">
        <f t="shared" si="54"/>
        <v/>
      </c>
      <c r="W167" s="611" t="s">
        <v>2074</v>
      </c>
      <c r="X167" s="618">
        <f t="shared" si="67"/>
        <v>5000</v>
      </c>
      <c r="Y167" s="618"/>
      <c r="Z167" s="617">
        <v>100</v>
      </c>
      <c r="AA167" s="361">
        <f t="shared" si="55"/>
        <v>85.47</v>
      </c>
      <c r="AB167" s="597"/>
      <c r="AC167" s="485">
        <f t="shared" si="56"/>
        <v>0</v>
      </c>
      <c r="AD167" s="597"/>
      <c r="AE167" s="485">
        <f t="shared" si="57"/>
        <v>0</v>
      </c>
      <c r="AF167" s="508">
        <f t="shared" si="58"/>
        <v>0</v>
      </c>
      <c r="AG167" s="508">
        <f t="shared" si="59"/>
        <v>0</v>
      </c>
      <c r="AH167" s="508">
        <f t="shared" si="60"/>
        <v>100</v>
      </c>
      <c r="AI167" s="508">
        <f t="shared" si="61"/>
        <v>0</v>
      </c>
      <c r="AJ167" s="508">
        <f t="shared" si="62"/>
        <v>14.53</v>
      </c>
      <c r="AK167" s="508">
        <f t="shared" si="63"/>
        <v>100</v>
      </c>
      <c r="AM167" s="486">
        <f t="shared" si="64"/>
        <v>14.76</v>
      </c>
      <c r="AN167" s="117">
        <f t="shared" si="69"/>
        <v>-15</v>
      </c>
      <c r="AO167" s="487">
        <f t="shared" si="65"/>
        <v>6250</v>
      </c>
      <c r="AP167" s="509"/>
    </row>
    <row r="168" spans="1:42" ht="14.25" customHeight="1">
      <c r="A168" s="701">
        <v>162</v>
      </c>
      <c r="B168" s="477"/>
      <c r="C168" s="477" t="s">
        <v>1569</v>
      </c>
      <c r="D168" s="477" t="s">
        <v>1276</v>
      </c>
      <c r="E168" s="475" t="s">
        <v>1453</v>
      </c>
      <c r="F168" s="611" t="s">
        <v>2005</v>
      </c>
      <c r="G168" s="482" t="s">
        <v>1943</v>
      </c>
      <c r="H168" s="482">
        <v>1</v>
      </c>
      <c r="I168" s="580">
        <v>40544</v>
      </c>
      <c r="J168" s="580">
        <v>37681</v>
      </c>
      <c r="K168" s="581">
        <v>10000</v>
      </c>
      <c r="L168" s="581">
        <v>854.7</v>
      </c>
      <c r="M168" s="582"/>
      <c r="N168" s="582"/>
      <c r="O168" s="582"/>
      <c r="P168" s="582">
        <f t="shared" si="51"/>
        <v>10000</v>
      </c>
      <c r="Q168" s="582">
        <f t="shared" si="52"/>
        <v>854.7</v>
      </c>
      <c r="R168" s="583">
        <f t="shared" si="53"/>
        <v>200</v>
      </c>
      <c r="S168" s="584"/>
      <c r="T168" s="584">
        <v>3</v>
      </c>
      <c r="U168" s="585">
        <f t="shared" si="68"/>
        <v>194</v>
      </c>
      <c r="V168" s="586">
        <f t="shared" si="54"/>
        <v>-77.3</v>
      </c>
      <c r="W168" s="611" t="s">
        <v>2076</v>
      </c>
      <c r="X168" s="618">
        <f t="shared" si="67"/>
        <v>10000</v>
      </c>
      <c r="Y168" s="618"/>
      <c r="Z168" s="617">
        <v>200</v>
      </c>
      <c r="AA168" s="361">
        <f t="shared" si="55"/>
        <v>170.94</v>
      </c>
      <c r="AB168" s="597"/>
      <c r="AC168" s="485">
        <f t="shared" si="56"/>
        <v>0</v>
      </c>
      <c r="AD168" s="597"/>
      <c r="AE168" s="485">
        <f t="shared" si="57"/>
        <v>0</v>
      </c>
      <c r="AF168" s="508">
        <f t="shared" si="58"/>
        <v>0</v>
      </c>
      <c r="AG168" s="508">
        <f t="shared" si="59"/>
        <v>0</v>
      </c>
      <c r="AH168" s="508">
        <f t="shared" si="60"/>
        <v>200</v>
      </c>
      <c r="AI168" s="508">
        <f t="shared" si="61"/>
        <v>0</v>
      </c>
      <c r="AJ168" s="508">
        <f t="shared" si="62"/>
        <v>29.06</v>
      </c>
      <c r="AK168" s="508">
        <f t="shared" si="63"/>
        <v>200</v>
      </c>
      <c r="AL168" s="116">
        <v>8</v>
      </c>
      <c r="AM168" s="486">
        <f t="shared" si="64"/>
        <v>14.76</v>
      </c>
      <c r="AN168" s="117">
        <f t="shared" si="69"/>
        <v>-7</v>
      </c>
      <c r="AO168" s="487">
        <f t="shared" si="65"/>
        <v>-90</v>
      </c>
      <c r="AP168" s="509"/>
    </row>
    <row r="169" spans="1:42" ht="14.25" customHeight="1">
      <c r="A169" s="701">
        <v>163</v>
      </c>
      <c r="B169" s="477"/>
      <c r="C169" s="477" t="s">
        <v>1569</v>
      </c>
      <c r="D169" s="477" t="s">
        <v>1276</v>
      </c>
      <c r="E169" s="475" t="s">
        <v>1453</v>
      </c>
      <c r="F169" s="611" t="s">
        <v>2005</v>
      </c>
      <c r="G169" s="482" t="s">
        <v>1943</v>
      </c>
      <c r="H169" s="482">
        <v>1</v>
      </c>
      <c r="I169" s="580">
        <v>40544</v>
      </c>
      <c r="J169" s="580">
        <v>37681</v>
      </c>
      <c r="K169" s="581">
        <v>10000</v>
      </c>
      <c r="L169" s="581">
        <v>683.76</v>
      </c>
      <c r="M169" s="582"/>
      <c r="N169" s="582"/>
      <c r="O169" s="582"/>
      <c r="P169" s="582">
        <f t="shared" si="51"/>
        <v>10000</v>
      </c>
      <c r="Q169" s="582">
        <f t="shared" si="52"/>
        <v>683.76</v>
      </c>
      <c r="R169" s="583">
        <f t="shared" si="53"/>
        <v>200</v>
      </c>
      <c r="S169" s="584"/>
      <c r="T169" s="584">
        <v>3</v>
      </c>
      <c r="U169" s="585">
        <f t="shared" si="68"/>
        <v>194</v>
      </c>
      <c r="V169" s="586">
        <f t="shared" si="54"/>
        <v>-71.63</v>
      </c>
      <c r="W169" s="611" t="s">
        <v>2076</v>
      </c>
      <c r="X169" s="618">
        <f t="shared" si="67"/>
        <v>10000</v>
      </c>
      <c r="Y169" s="618"/>
      <c r="Z169" s="617">
        <v>200</v>
      </c>
      <c r="AA169" s="361">
        <f t="shared" si="55"/>
        <v>170.94</v>
      </c>
      <c r="AB169" s="597"/>
      <c r="AC169" s="485">
        <f t="shared" si="56"/>
        <v>0</v>
      </c>
      <c r="AD169" s="597"/>
      <c r="AE169" s="485">
        <f t="shared" si="57"/>
        <v>0</v>
      </c>
      <c r="AF169" s="508">
        <f t="shared" si="58"/>
        <v>0</v>
      </c>
      <c r="AG169" s="508">
        <f t="shared" si="59"/>
        <v>0</v>
      </c>
      <c r="AH169" s="508">
        <f t="shared" si="60"/>
        <v>200</v>
      </c>
      <c r="AI169" s="508">
        <f t="shared" si="61"/>
        <v>0</v>
      </c>
      <c r="AJ169" s="508">
        <f t="shared" si="62"/>
        <v>29.06</v>
      </c>
      <c r="AK169" s="508">
        <f t="shared" si="63"/>
        <v>200</v>
      </c>
      <c r="AL169" s="116">
        <v>8</v>
      </c>
      <c r="AM169" s="486">
        <f t="shared" si="64"/>
        <v>14.76</v>
      </c>
      <c r="AN169" s="117">
        <f t="shared" si="69"/>
        <v>-7</v>
      </c>
      <c r="AO169" s="487">
        <f t="shared" si="65"/>
        <v>-90</v>
      </c>
      <c r="AP169" s="509"/>
    </row>
    <row r="170" spans="1:42" ht="14.25" customHeight="1">
      <c r="A170" s="701">
        <v>164</v>
      </c>
      <c r="B170" s="477"/>
      <c r="C170" s="477" t="s">
        <v>1667</v>
      </c>
      <c r="D170" s="477" t="s">
        <v>1277</v>
      </c>
      <c r="E170" s="475" t="s">
        <v>1453</v>
      </c>
      <c r="F170" s="611" t="s">
        <v>2005</v>
      </c>
      <c r="G170" s="579" t="s">
        <v>1965</v>
      </c>
      <c r="H170" s="482">
        <v>1</v>
      </c>
      <c r="I170" s="580">
        <v>40544</v>
      </c>
      <c r="J170" s="580">
        <v>37681</v>
      </c>
      <c r="K170" s="581">
        <v>77360</v>
      </c>
      <c r="L170" s="581">
        <v>276.07</v>
      </c>
      <c r="M170" s="582"/>
      <c r="N170" s="582"/>
      <c r="O170" s="582"/>
      <c r="P170" s="582">
        <f t="shared" si="51"/>
        <v>77360</v>
      </c>
      <c r="Q170" s="582">
        <f t="shared" si="52"/>
        <v>276.07</v>
      </c>
      <c r="R170" s="583">
        <f t="shared" si="53"/>
        <v>300</v>
      </c>
      <c r="S170" s="584"/>
      <c r="T170" s="584">
        <v>3</v>
      </c>
      <c r="U170" s="585">
        <f t="shared" si="68"/>
        <v>291</v>
      </c>
      <c r="V170" s="586">
        <f t="shared" si="54"/>
        <v>5.41</v>
      </c>
      <c r="W170" s="611" t="s">
        <v>2074</v>
      </c>
      <c r="X170" s="618">
        <f t="shared" si="67"/>
        <v>77360</v>
      </c>
      <c r="Y170" s="618"/>
      <c r="Z170" s="617">
        <v>400</v>
      </c>
      <c r="AA170" s="361">
        <f t="shared" si="55"/>
        <v>341.88</v>
      </c>
      <c r="AB170" s="597"/>
      <c r="AC170" s="485">
        <f t="shared" si="56"/>
        <v>0</v>
      </c>
      <c r="AD170" s="597"/>
      <c r="AE170" s="485">
        <f t="shared" si="57"/>
        <v>0</v>
      </c>
      <c r="AF170" s="508">
        <f t="shared" si="58"/>
        <v>0</v>
      </c>
      <c r="AG170" s="508">
        <f t="shared" si="59"/>
        <v>0</v>
      </c>
      <c r="AH170" s="508">
        <f t="shared" si="60"/>
        <v>400</v>
      </c>
      <c r="AI170" s="508">
        <f t="shared" si="61"/>
        <v>0</v>
      </c>
      <c r="AJ170" s="508">
        <f t="shared" si="62"/>
        <v>58.12</v>
      </c>
      <c r="AK170" s="508">
        <f t="shared" si="63"/>
        <v>300</v>
      </c>
      <c r="AM170" s="486">
        <f t="shared" si="64"/>
        <v>14.76</v>
      </c>
      <c r="AN170" s="117">
        <f t="shared" si="69"/>
        <v>-15</v>
      </c>
      <c r="AO170" s="487">
        <f t="shared" si="65"/>
        <v>6250</v>
      </c>
      <c r="AP170" s="509"/>
    </row>
    <row r="171" spans="1:42" ht="14.25" customHeight="1">
      <c r="A171" s="701">
        <v>165</v>
      </c>
      <c r="B171" s="477"/>
      <c r="C171" s="477" t="s">
        <v>1528</v>
      </c>
      <c r="D171" s="477" t="s">
        <v>1278</v>
      </c>
      <c r="E171" s="475" t="s">
        <v>1453</v>
      </c>
      <c r="F171" s="611" t="s">
        <v>2039</v>
      </c>
      <c r="G171" s="579" t="s">
        <v>1923</v>
      </c>
      <c r="H171" s="482">
        <v>1</v>
      </c>
      <c r="I171" s="580">
        <v>40544</v>
      </c>
      <c r="J171" s="580">
        <v>37681</v>
      </c>
      <c r="K171" s="581">
        <v>6270</v>
      </c>
      <c r="L171" s="581">
        <v>3623.6</v>
      </c>
      <c r="M171" s="582"/>
      <c r="N171" s="582"/>
      <c r="O171" s="582"/>
      <c r="P171" s="582">
        <f t="shared" si="51"/>
        <v>6270</v>
      </c>
      <c r="Q171" s="582">
        <f t="shared" si="52"/>
        <v>3623.6</v>
      </c>
      <c r="R171" s="583">
        <f t="shared" si="53"/>
        <v>200</v>
      </c>
      <c r="S171" s="584"/>
      <c r="T171" s="584"/>
      <c r="U171" s="585">
        <f>IF(S171="",R171,ROUND(R171*S171/100,0))</f>
        <v>200</v>
      </c>
      <c r="V171" s="586">
        <f t="shared" si="54"/>
        <v>-94.48</v>
      </c>
      <c r="W171" s="477"/>
      <c r="X171" s="618">
        <f t="shared" si="67"/>
        <v>6270</v>
      </c>
      <c r="Y171" s="618"/>
      <c r="Z171" s="617">
        <v>200</v>
      </c>
      <c r="AA171" s="361">
        <f t="shared" si="55"/>
        <v>170.94</v>
      </c>
      <c r="AB171" s="597"/>
      <c r="AC171" s="485">
        <f t="shared" si="56"/>
        <v>0</v>
      </c>
      <c r="AD171" s="597"/>
      <c r="AE171" s="485">
        <f t="shared" si="57"/>
        <v>0</v>
      </c>
      <c r="AF171" s="508">
        <f t="shared" si="58"/>
        <v>0</v>
      </c>
      <c r="AG171" s="508">
        <f t="shared" si="59"/>
        <v>0</v>
      </c>
      <c r="AH171" s="508">
        <f t="shared" si="60"/>
        <v>200</v>
      </c>
      <c r="AI171" s="508">
        <f t="shared" si="61"/>
        <v>0</v>
      </c>
      <c r="AJ171" s="508">
        <f t="shared" si="62"/>
        <v>29.06</v>
      </c>
      <c r="AK171" s="508">
        <f t="shared" si="63"/>
        <v>200</v>
      </c>
      <c r="AL171" s="116">
        <v>15</v>
      </c>
      <c r="AM171" s="486">
        <f t="shared" si="64"/>
        <v>14.76</v>
      </c>
      <c r="AN171" s="117">
        <f t="shared" si="69"/>
        <v>0</v>
      </c>
      <c r="AO171" s="487">
        <f t="shared" si="65"/>
        <v>0</v>
      </c>
      <c r="AP171" s="509"/>
    </row>
    <row r="172" spans="1:42" ht="14.25" customHeight="1">
      <c r="A172" s="701">
        <v>166</v>
      </c>
      <c r="B172" s="477"/>
      <c r="C172" s="477" t="s">
        <v>1765</v>
      </c>
      <c r="D172" s="477" t="s">
        <v>1279</v>
      </c>
      <c r="E172" s="475" t="s">
        <v>1453</v>
      </c>
      <c r="F172" s="611" t="s">
        <v>2026</v>
      </c>
      <c r="G172" s="482" t="s">
        <v>1943</v>
      </c>
      <c r="H172" s="482">
        <v>1</v>
      </c>
      <c r="I172" s="580">
        <v>40544</v>
      </c>
      <c r="J172" s="580">
        <v>37681</v>
      </c>
      <c r="K172" s="581">
        <v>260266.66</v>
      </c>
      <c r="L172" s="581">
        <v>4273.5</v>
      </c>
      <c r="M172" s="582"/>
      <c r="N172" s="582"/>
      <c r="O172" s="582"/>
      <c r="P172" s="582">
        <f t="shared" si="51"/>
        <v>260266.66</v>
      </c>
      <c r="Q172" s="582">
        <f t="shared" si="52"/>
        <v>4273.5</v>
      </c>
      <c r="R172" s="583">
        <f t="shared" si="53"/>
        <v>3400</v>
      </c>
      <c r="S172" s="584"/>
      <c r="T172" s="584">
        <v>4</v>
      </c>
      <c r="U172" s="585">
        <f t="shared" ref="U172:U179" si="70">ROUND(R172*(1-T172/100),0)</f>
        <v>3264</v>
      </c>
      <c r="V172" s="586">
        <f t="shared" si="54"/>
        <v>-23.62</v>
      </c>
      <c r="W172" s="611" t="s">
        <v>2074</v>
      </c>
      <c r="X172" s="618">
        <f t="shared" si="67"/>
        <v>260266.66</v>
      </c>
      <c r="Y172" s="618"/>
      <c r="Z172" s="617">
        <v>4000</v>
      </c>
      <c r="AA172" s="361">
        <f t="shared" si="55"/>
        <v>3418.8</v>
      </c>
      <c r="AB172" s="597"/>
      <c r="AC172" s="485">
        <f t="shared" si="56"/>
        <v>0</v>
      </c>
      <c r="AD172" s="597"/>
      <c r="AE172" s="485">
        <f t="shared" si="57"/>
        <v>0</v>
      </c>
      <c r="AF172" s="508">
        <f t="shared" si="58"/>
        <v>0</v>
      </c>
      <c r="AG172" s="508">
        <f t="shared" si="59"/>
        <v>0</v>
      </c>
      <c r="AH172" s="508">
        <f t="shared" si="60"/>
        <v>4000</v>
      </c>
      <c r="AI172" s="508">
        <f t="shared" si="61"/>
        <v>0</v>
      </c>
      <c r="AJ172" s="508">
        <f t="shared" si="62"/>
        <v>581.20000000000005</v>
      </c>
      <c r="AK172" s="508">
        <f t="shared" si="63"/>
        <v>3400</v>
      </c>
      <c r="AL172" s="116">
        <v>12</v>
      </c>
      <c r="AM172" s="486">
        <f t="shared" si="64"/>
        <v>14.76</v>
      </c>
      <c r="AN172" s="117">
        <f t="shared" si="69"/>
        <v>-3</v>
      </c>
      <c r="AO172" s="487">
        <f t="shared" si="65"/>
        <v>-26</v>
      </c>
      <c r="AP172" s="509"/>
    </row>
    <row r="173" spans="1:42" ht="14.25" customHeight="1">
      <c r="A173" s="701">
        <v>167</v>
      </c>
      <c r="B173" s="477"/>
      <c r="C173" s="477" t="s">
        <v>1765</v>
      </c>
      <c r="D173" s="477" t="s">
        <v>1279</v>
      </c>
      <c r="E173" s="475" t="s">
        <v>1453</v>
      </c>
      <c r="F173" s="611" t="s">
        <v>2026</v>
      </c>
      <c r="G173" s="482" t="s">
        <v>1943</v>
      </c>
      <c r="H173" s="482">
        <v>1</v>
      </c>
      <c r="I173" s="580">
        <v>40544</v>
      </c>
      <c r="J173" s="580">
        <v>37681</v>
      </c>
      <c r="K173" s="581">
        <v>260266.67</v>
      </c>
      <c r="L173" s="581">
        <v>4273.5</v>
      </c>
      <c r="M173" s="582"/>
      <c r="N173" s="582"/>
      <c r="O173" s="582"/>
      <c r="P173" s="582">
        <f t="shared" si="51"/>
        <v>260266.67</v>
      </c>
      <c r="Q173" s="582">
        <f t="shared" si="52"/>
        <v>4273.5</v>
      </c>
      <c r="R173" s="583">
        <f t="shared" si="53"/>
        <v>3400</v>
      </c>
      <c r="S173" s="584"/>
      <c r="T173" s="584">
        <v>4</v>
      </c>
      <c r="U173" s="585">
        <f t="shared" si="70"/>
        <v>3264</v>
      </c>
      <c r="V173" s="586">
        <f t="shared" si="54"/>
        <v>-23.62</v>
      </c>
      <c r="W173" s="611" t="s">
        <v>2074</v>
      </c>
      <c r="X173" s="618">
        <f t="shared" si="67"/>
        <v>260266.67</v>
      </c>
      <c r="Y173" s="618"/>
      <c r="Z173" s="617">
        <v>4000</v>
      </c>
      <c r="AA173" s="361">
        <f t="shared" si="55"/>
        <v>3418.8</v>
      </c>
      <c r="AB173" s="597"/>
      <c r="AC173" s="485">
        <f t="shared" si="56"/>
        <v>0</v>
      </c>
      <c r="AD173" s="597"/>
      <c r="AE173" s="485">
        <f t="shared" si="57"/>
        <v>0</v>
      </c>
      <c r="AF173" s="508">
        <f t="shared" si="58"/>
        <v>0</v>
      </c>
      <c r="AG173" s="508">
        <f t="shared" si="59"/>
        <v>0</v>
      </c>
      <c r="AH173" s="508">
        <f t="shared" si="60"/>
        <v>4000</v>
      </c>
      <c r="AI173" s="508">
        <f t="shared" si="61"/>
        <v>0</v>
      </c>
      <c r="AJ173" s="508">
        <f t="shared" si="62"/>
        <v>581.20000000000005</v>
      </c>
      <c r="AK173" s="508">
        <f t="shared" si="63"/>
        <v>3400</v>
      </c>
      <c r="AL173" s="116">
        <v>12</v>
      </c>
      <c r="AM173" s="486">
        <f t="shared" si="64"/>
        <v>14.76</v>
      </c>
      <c r="AN173" s="117">
        <f t="shared" si="69"/>
        <v>-3</v>
      </c>
      <c r="AO173" s="487">
        <f t="shared" si="65"/>
        <v>-26</v>
      </c>
      <c r="AP173" s="509"/>
    </row>
    <row r="174" spans="1:42" ht="14.25" customHeight="1">
      <c r="A174" s="701">
        <v>168</v>
      </c>
      <c r="B174" s="477"/>
      <c r="C174" s="477" t="s">
        <v>1765</v>
      </c>
      <c r="D174" s="477" t="s">
        <v>1279</v>
      </c>
      <c r="E174" s="475" t="s">
        <v>1453</v>
      </c>
      <c r="F174" s="611" t="s">
        <v>2026</v>
      </c>
      <c r="G174" s="482" t="s">
        <v>1943</v>
      </c>
      <c r="H174" s="482">
        <v>1</v>
      </c>
      <c r="I174" s="580">
        <v>40544</v>
      </c>
      <c r="J174" s="580">
        <v>37681</v>
      </c>
      <c r="K174" s="581">
        <v>260266.67</v>
      </c>
      <c r="L174" s="581">
        <v>461.54</v>
      </c>
      <c r="M174" s="582"/>
      <c r="N174" s="582"/>
      <c r="O174" s="582"/>
      <c r="P174" s="582">
        <f t="shared" si="51"/>
        <v>260266.67</v>
      </c>
      <c r="Q174" s="582">
        <f t="shared" si="52"/>
        <v>461.54</v>
      </c>
      <c r="R174" s="583">
        <f t="shared" si="53"/>
        <v>3400</v>
      </c>
      <c r="S174" s="584"/>
      <c r="T174" s="584">
        <v>4</v>
      </c>
      <c r="U174" s="585">
        <f t="shared" si="70"/>
        <v>3264</v>
      </c>
      <c r="V174" s="586">
        <f t="shared" si="54"/>
        <v>607.20000000000005</v>
      </c>
      <c r="W174" s="611" t="s">
        <v>2074</v>
      </c>
      <c r="X174" s="618">
        <f t="shared" si="67"/>
        <v>260266.67</v>
      </c>
      <c r="Y174" s="618"/>
      <c r="Z174" s="617">
        <v>4000</v>
      </c>
      <c r="AA174" s="361">
        <f t="shared" si="55"/>
        <v>3418.8</v>
      </c>
      <c r="AB174" s="597"/>
      <c r="AC174" s="485">
        <f t="shared" si="56"/>
        <v>0</v>
      </c>
      <c r="AD174" s="597"/>
      <c r="AE174" s="485">
        <f t="shared" si="57"/>
        <v>0</v>
      </c>
      <c r="AF174" s="508">
        <f t="shared" si="58"/>
        <v>0</v>
      </c>
      <c r="AG174" s="508">
        <f t="shared" si="59"/>
        <v>0</v>
      </c>
      <c r="AH174" s="508">
        <f t="shared" si="60"/>
        <v>4000</v>
      </c>
      <c r="AI174" s="508">
        <f t="shared" si="61"/>
        <v>0</v>
      </c>
      <c r="AJ174" s="508">
        <f t="shared" si="62"/>
        <v>581.20000000000005</v>
      </c>
      <c r="AK174" s="508">
        <f t="shared" si="63"/>
        <v>3400</v>
      </c>
      <c r="AL174" s="116">
        <v>12</v>
      </c>
      <c r="AM174" s="486">
        <f t="shared" si="64"/>
        <v>14.76</v>
      </c>
      <c r="AN174" s="117">
        <f t="shared" si="69"/>
        <v>-3</v>
      </c>
      <c r="AO174" s="487">
        <f t="shared" si="65"/>
        <v>-26</v>
      </c>
      <c r="AP174" s="509"/>
    </row>
    <row r="175" spans="1:42" ht="14.25" customHeight="1">
      <c r="A175" s="701">
        <v>169</v>
      </c>
      <c r="B175" s="477"/>
      <c r="C175" s="477" t="s">
        <v>1672</v>
      </c>
      <c r="D175" s="477"/>
      <c r="E175" s="475" t="s">
        <v>1453</v>
      </c>
      <c r="F175" s="611" t="s">
        <v>2005</v>
      </c>
      <c r="G175" s="482" t="s">
        <v>1943</v>
      </c>
      <c r="H175" s="482">
        <v>1</v>
      </c>
      <c r="I175" s="580">
        <v>40544</v>
      </c>
      <c r="J175" s="580">
        <v>37681</v>
      </c>
      <c r="K175" s="581">
        <v>5400</v>
      </c>
      <c r="L175" s="581">
        <v>1601.44</v>
      </c>
      <c r="M175" s="582"/>
      <c r="N175" s="582"/>
      <c r="O175" s="582"/>
      <c r="P175" s="582">
        <f t="shared" si="51"/>
        <v>5400</v>
      </c>
      <c r="Q175" s="582">
        <f t="shared" si="52"/>
        <v>1601.44</v>
      </c>
      <c r="R175" s="583">
        <f t="shared" si="53"/>
        <v>200</v>
      </c>
      <c r="S175" s="584"/>
      <c r="T175" s="584">
        <v>3</v>
      </c>
      <c r="U175" s="585">
        <f t="shared" si="70"/>
        <v>194</v>
      </c>
      <c r="V175" s="586">
        <f t="shared" si="54"/>
        <v>-87.89</v>
      </c>
      <c r="W175" s="611" t="s">
        <v>2074</v>
      </c>
      <c r="X175" s="618">
        <f t="shared" si="67"/>
        <v>5400</v>
      </c>
      <c r="Y175" s="618"/>
      <c r="Z175" s="617">
        <v>200</v>
      </c>
      <c r="AA175" s="361">
        <f t="shared" si="55"/>
        <v>170.94</v>
      </c>
      <c r="AB175" s="597"/>
      <c r="AC175" s="485">
        <f t="shared" si="56"/>
        <v>0</v>
      </c>
      <c r="AD175" s="597"/>
      <c r="AE175" s="485">
        <f t="shared" si="57"/>
        <v>0</v>
      </c>
      <c r="AF175" s="508">
        <f t="shared" si="58"/>
        <v>0</v>
      </c>
      <c r="AG175" s="508">
        <f t="shared" si="59"/>
        <v>0</v>
      </c>
      <c r="AH175" s="508">
        <f t="shared" si="60"/>
        <v>200</v>
      </c>
      <c r="AI175" s="508">
        <f t="shared" si="61"/>
        <v>0</v>
      </c>
      <c r="AJ175" s="508">
        <f t="shared" si="62"/>
        <v>29.06</v>
      </c>
      <c r="AK175" s="508">
        <f t="shared" si="63"/>
        <v>200</v>
      </c>
      <c r="AM175" s="486">
        <f t="shared" si="64"/>
        <v>14.76</v>
      </c>
      <c r="AN175" s="117">
        <f t="shared" si="69"/>
        <v>-15</v>
      </c>
      <c r="AO175" s="487">
        <f t="shared" si="65"/>
        <v>6250</v>
      </c>
      <c r="AP175" s="509"/>
    </row>
    <row r="176" spans="1:42" ht="14.25" customHeight="1">
      <c r="A176" s="701">
        <v>170</v>
      </c>
      <c r="B176" s="477"/>
      <c r="C176" s="477" t="s">
        <v>1618</v>
      </c>
      <c r="D176" s="477" t="s">
        <v>1280</v>
      </c>
      <c r="E176" s="475" t="s">
        <v>1453</v>
      </c>
      <c r="F176" s="611" t="s">
        <v>2026</v>
      </c>
      <c r="G176" s="579" t="s">
        <v>1967</v>
      </c>
      <c r="H176" s="482">
        <v>1</v>
      </c>
      <c r="I176" s="580">
        <v>40544</v>
      </c>
      <c r="J176" s="580">
        <v>37681</v>
      </c>
      <c r="K176" s="581">
        <v>90693.34</v>
      </c>
      <c r="L176" s="581">
        <v>4273.5</v>
      </c>
      <c r="M176" s="582"/>
      <c r="N176" s="582"/>
      <c r="O176" s="582"/>
      <c r="P176" s="582">
        <f t="shared" si="51"/>
        <v>90693.34</v>
      </c>
      <c r="Q176" s="582">
        <f t="shared" si="52"/>
        <v>4273.5</v>
      </c>
      <c r="R176" s="583">
        <f t="shared" si="53"/>
        <v>300</v>
      </c>
      <c r="S176" s="584"/>
      <c r="T176" s="584">
        <v>3</v>
      </c>
      <c r="U176" s="585">
        <f t="shared" si="70"/>
        <v>291</v>
      </c>
      <c r="V176" s="586">
        <f t="shared" si="54"/>
        <v>-93.19</v>
      </c>
      <c r="W176" s="611" t="s">
        <v>2074</v>
      </c>
      <c r="X176" s="618">
        <f t="shared" ref="X176:X207" si="71">P176/H176</f>
        <v>90693.34</v>
      </c>
      <c r="Y176" s="618"/>
      <c r="Z176" s="617">
        <v>300</v>
      </c>
      <c r="AA176" s="361">
        <f t="shared" si="55"/>
        <v>256.41000000000003</v>
      </c>
      <c r="AB176" s="597"/>
      <c r="AC176" s="485">
        <f t="shared" si="56"/>
        <v>0</v>
      </c>
      <c r="AD176" s="597"/>
      <c r="AE176" s="485">
        <f t="shared" si="57"/>
        <v>0</v>
      </c>
      <c r="AF176" s="508">
        <f t="shared" si="58"/>
        <v>0</v>
      </c>
      <c r="AG176" s="508">
        <f t="shared" si="59"/>
        <v>0</v>
      </c>
      <c r="AH176" s="508">
        <f t="shared" si="60"/>
        <v>300</v>
      </c>
      <c r="AI176" s="508">
        <f t="shared" si="61"/>
        <v>0</v>
      </c>
      <c r="AJ176" s="508">
        <f t="shared" si="62"/>
        <v>43.59</v>
      </c>
      <c r="AK176" s="508">
        <f t="shared" si="63"/>
        <v>300</v>
      </c>
      <c r="AL176" s="116">
        <v>10</v>
      </c>
      <c r="AM176" s="486">
        <f t="shared" si="64"/>
        <v>14.76</v>
      </c>
      <c r="AN176" s="117">
        <f t="shared" si="69"/>
        <v>-5</v>
      </c>
      <c r="AO176" s="487">
        <f t="shared" si="65"/>
        <v>-51</v>
      </c>
      <c r="AP176" s="509"/>
    </row>
    <row r="177" spans="1:42" ht="14.25" customHeight="1">
      <c r="A177" s="701">
        <v>171</v>
      </c>
      <c r="B177" s="477"/>
      <c r="C177" s="477" t="s">
        <v>1618</v>
      </c>
      <c r="D177" s="477" t="s">
        <v>1280</v>
      </c>
      <c r="E177" s="475" t="s">
        <v>1453</v>
      </c>
      <c r="F177" s="611" t="s">
        <v>2026</v>
      </c>
      <c r="G177" s="579" t="s">
        <v>1967</v>
      </c>
      <c r="H177" s="482">
        <v>1</v>
      </c>
      <c r="I177" s="580">
        <v>40544</v>
      </c>
      <c r="J177" s="580">
        <v>37681</v>
      </c>
      <c r="K177" s="581">
        <v>90693.33</v>
      </c>
      <c r="L177" s="581">
        <v>4273.5</v>
      </c>
      <c r="M177" s="582"/>
      <c r="N177" s="582"/>
      <c r="O177" s="582"/>
      <c r="P177" s="582">
        <f t="shared" si="51"/>
        <v>90693.33</v>
      </c>
      <c r="Q177" s="582">
        <f t="shared" si="52"/>
        <v>4273.5</v>
      </c>
      <c r="R177" s="583">
        <f t="shared" si="53"/>
        <v>300</v>
      </c>
      <c r="S177" s="584"/>
      <c r="T177" s="584">
        <v>3</v>
      </c>
      <c r="U177" s="585">
        <f t="shared" si="70"/>
        <v>291</v>
      </c>
      <c r="V177" s="586">
        <f t="shared" si="54"/>
        <v>-93.19</v>
      </c>
      <c r="W177" s="611" t="s">
        <v>2074</v>
      </c>
      <c r="X177" s="618">
        <f t="shared" si="71"/>
        <v>90693.33</v>
      </c>
      <c r="Y177" s="618"/>
      <c r="Z177" s="617">
        <v>300</v>
      </c>
      <c r="AA177" s="361">
        <f t="shared" si="55"/>
        <v>256.41000000000003</v>
      </c>
      <c r="AB177" s="597"/>
      <c r="AC177" s="485">
        <f t="shared" si="56"/>
        <v>0</v>
      </c>
      <c r="AD177" s="597"/>
      <c r="AE177" s="485">
        <f t="shared" si="57"/>
        <v>0</v>
      </c>
      <c r="AF177" s="508">
        <f t="shared" si="58"/>
        <v>0</v>
      </c>
      <c r="AG177" s="508">
        <f t="shared" si="59"/>
        <v>0</v>
      </c>
      <c r="AH177" s="508">
        <f t="shared" si="60"/>
        <v>300</v>
      </c>
      <c r="AI177" s="508">
        <f t="shared" si="61"/>
        <v>0</v>
      </c>
      <c r="AJ177" s="508">
        <f t="shared" si="62"/>
        <v>43.59</v>
      </c>
      <c r="AK177" s="508">
        <f t="shared" si="63"/>
        <v>300</v>
      </c>
      <c r="AL177" s="116">
        <v>10</v>
      </c>
      <c r="AM177" s="486">
        <f t="shared" si="64"/>
        <v>14.76</v>
      </c>
      <c r="AN177" s="117">
        <f t="shared" si="69"/>
        <v>-5</v>
      </c>
      <c r="AO177" s="487">
        <f t="shared" si="65"/>
        <v>-51</v>
      </c>
      <c r="AP177" s="509"/>
    </row>
    <row r="178" spans="1:42" ht="14.25" customHeight="1">
      <c r="A178" s="701">
        <v>172</v>
      </c>
      <c r="B178" s="477"/>
      <c r="C178" s="477" t="s">
        <v>1618</v>
      </c>
      <c r="D178" s="477" t="s">
        <v>1280</v>
      </c>
      <c r="E178" s="475" t="s">
        <v>1453</v>
      </c>
      <c r="F178" s="611" t="s">
        <v>2026</v>
      </c>
      <c r="G178" s="579" t="s">
        <v>1967</v>
      </c>
      <c r="H178" s="482">
        <v>1</v>
      </c>
      <c r="I178" s="580">
        <v>40544</v>
      </c>
      <c r="J178" s="580">
        <v>37681</v>
      </c>
      <c r="K178" s="581">
        <v>90693.33</v>
      </c>
      <c r="L178" s="581">
        <v>0</v>
      </c>
      <c r="M178" s="582"/>
      <c r="N178" s="582"/>
      <c r="O178" s="582"/>
      <c r="P178" s="582">
        <f t="shared" si="51"/>
        <v>90693.33</v>
      </c>
      <c r="Q178" s="582">
        <f t="shared" si="52"/>
        <v>0</v>
      </c>
      <c r="R178" s="583">
        <f t="shared" si="53"/>
        <v>300</v>
      </c>
      <c r="S178" s="584"/>
      <c r="T178" s="584">
        <v>3</v>
      </c>
      <c r="U178" s="585">
        <f t="shared" si="70"/>
        <v>291</v>
      </c>
      <c r="V178" s="586" t="str">
        <f t="shared" si="54"/>
        <v/>
      </c>
      <c r="W178" s="611" t="s">
        <v>2074</v>
      </c>
      <c r="X178" s="618">
        <f t="shared" si="71"/>
        <v>90693.33</v>
      </c>
      <c r="Y178" s="618"/>
      <c r="Z178" s="617">
        <v>300</v>
      </c>
      <c r="AA178" s="361">
        <f t="shared" si="55"/>
        <v>256.41000000000003</v>
      </c>
      <c r="AB178" s="597"/>
      <c r="AC178" s="485">
        <f t="shared" si="56"/>
        <v>0</v>
      </c>
      <c r="AD178" s="597"/>
      <c r="AE178" s="485">
        <f t="shared" si="57"/>
        <v>0</v>
      </c>
      <c r="AF178" s="508">
        <f t="shared" si="58"/>
        <v>0</v>
      </c>
      <c r="AG178" s="508">
        <f t="shared" si="59"/>
        <v>0</v>
      </c>
      <c r="AH178" s="508">
        <f t="shared" si="60"/>
        <v>300</v>
      </c>
      <c r="AI178" s="508">
        <f t="shared" si="61"/>
        <v>0</v>
      </c>
      <c r="AJ178" s="508">
        <f t="shared" si="62"/>
        <v>43.59</v>
      </c>
      <c r="AK178" s="508">
        <f t="shared" si="63"/>
        <v>300</v>
      </c>
      <c r="AL178" s="116">
        <v>10</v>
      </c>
      <c r="AM178" s="486">
        <f t="shared" si="64"/>
        <v>14.76</v>
      </c>
      <c r="AN178" s="117">
        <f t="shared" si="69"/>
        <v>-5</v>
      </c>
      <c r="AO178" s="487">
        <f t="shared" si="65"/>
        <v>-51</v>
      </c>
      <c r="AP178" s="610"/>
    </row>
    <row r="179" spans="1:42" ht="14.25" customHeight="1">
      <c r="A179" s="701">
        <v>173</v>
      </c>
      <c r="B179" s="477"/>
      <c r="C179" s="477" t="s">
        <v>1601</v>
      </c>
      <c r="D179" s="477" t="s">
        <v>1281</v>
      </c>
      <c r="E179" s="475" t="s">
        <v>1453</v>
      </c>
      <c r="F179" s="611" t="s">
        <v>2017</v>
      </c>
      <c r="G179" s="482" t="s">
        <v>1943</v>
      </c>
      <c r="H179" s="482">
        <v>1</v>
      </c>
      <c r="I179" s="580">
        <v>40544</v>
      </c>
      <c r="J179" s="580">
        <v>37681</v>
      </c>
      <c r="K179" s="581">
        <v>48025</v>
      </c>
      <c r="L179" s="581">
        <v>427.35</v>
      </c>
      <c r="M179" s="582"/>
      <c r="N179" s="582"/>
      <c r="O179" s="582"/>
      <c r="P179" s="582">
        <f t="shared" si="51"/>
        <v>48025</v>
      </c>
      <c r="Q179" s="582">
        <f t="shared" si="52"/>
        <v>427.35</v>
      </c>
      <c r="R179" s="583">
        <f t="shared" si="53"/>
        <v>100</v>
      </c>
      <c r="S179" s="584"/>
      <c r="T179" s="584">
        <v>3</v>
      </c>
      <c r="U179" s="585">
        <f t="shared" si="70"/>
        <v>97</v>
      </c>
      <c r="V179" s="586">
        <f t="shared" si="54"/>
        <v>-77.3</v>
      </c>
      <c r="W179" s="611" t="s">
        <v>2074</v>
      </c>
      <c r="X179" s="618">
        <f t="shared" si="71"/>
        <v>48025</v>
      </c>
      <c r="Y179" s="618"/>
      <c r="Z179" s="617">
        <v>100</v>
      </c>
      <c r="AA179" s="361">
        <f t="shared" si="55"/>
        <v>85.47</v>
      </c>
      <c r="AB179" s="597"/>
      <c r="AC179" s="485">
        <f t="shared" si="56"/>
        <v>0</v>
      </c>
      <c r="AD179" s="597"/>
      <c r="AE179" s="485">
        <f t="shared" si="57"/>
        <v>0</v>
      </c>
      <c r="AF179" s="508">
        <f t="shared" si="58"/>
        <v>0</v>
      </c>
      <c r="AG179" s="508">
        <f t="shared" si="59"/>
        <v>0</v>
      </c>
      <c r="AH179" s="508">
        <f t="shared" si="60"/>
        <v>100</v>
      </c>
      <c r="AI179" s="508">
        <f t="shared" si="61"/>
        <v>0</v>
      </c>
      <c r="AJ179" s="508">
        <f t="shared" si="62"/>
        <v>14.53</v>
      </c>
      <c r="AK179" s="508">
        <f t="shared" si="63"/>
        <v>100</v>
      </c>
      <c r="AL179" s="116">
        <v>8</v>
      </c>
      <c r="AM179" s="486">
        <f t="shared" si="64"/>
        <v>14.76</v>
      </c>
      <c r="AN179" s="117">
        <f t="shared" si="69"/>
        <v>-7</v>
      </c>
      <c r="AO179" s="487">
        <f t="shared" si="65"/>
        <v>-90</v>
      </c>
      <c r="AP179" s="610"/>
    </row>
    <row r="180" spans="1:42" ht="14.25" customHeight="1">
      <c r="A180" s="701">
        <v>174</v>
      </c>
      <c r="B180" s="477"/>
      <c r="C180" s="477" t="s">
        <v>1529</v>
      </c>
      <c r="D180" s="477"/>
      <c r="E180" s="475" t="s">
        <v>1453</v>
      </c>
      <c r="F180" s="611" t="s">
        <v>2039</v>
      </c>
      <c r="G180" s="579" t="s">
        <v>1923</v>
      </c>
      <c r="H180" s="482">
        <v>1</v>
      </c>
      <c r="I180" s="580">
        <v>40544</v>
      </c>
      <c r="J180" s="580">
        <v>37681</v>
      </c>
      <c r="K180" s="581">
        <v>11560</v>
      </c>
      <c r="L180" s="581">
        <v>427.35</v>
      </c>
      <c r="M180" s="582"/>
      <c r="N180" s="582"/>
      <c r="O180" s="582"/>
      <c r="P180" s="582">
        <f t="shared" si="51"/>
        <v>11560</v>
      </c>
      <c r="Q180" s="582">
        <f t="shared" si="52"/>
        <v>427.35</v>
      </c>
      <c r="R180" s="583">
        <f t="shared" si="53"/>
        <v>200</v>
      </c>
      <c r="S180" s="584"/>
      <c r="T180" s="584"/>
      <c r="U180" s="585">
        <f>IF(S180="",R180,ROUND(R180*S180/100,0))</f>
        <v>200</v>
      </c>
      <c r="V180" s="586">
        <f t="shared" si="54"/>
        <v>-53.2</v>
      </c>
      <c r="W180" s="477"/>
      <c r="X180" s="618">
        <f t="shared" si="71"/>
        <v>11560</v>
      </c>
      <c r="Y180" s="618"/>
      <c r="Z180" s="617">
        <v>200</v>
      </c>
      <c r="AA180" s="361">
        <f t="shared" si="55"/>
        <v>170.94</v>
      </c>
      <c r="AB180" s="597"/>
      <c r="AC180" s="485">
        <f t="shared" si="56"/>
        <v>0</v>
      </c>
      <c r="AD180" s="597"/>
      <c r="AE180" s="485">
        <f t="shared" si="57"/>
        <v>0</v>
      </c>
      <c r="AF180" s="508">
        <f t="shared" si="58"/>
        <v>0</v>
      </c>
      <c r="AG180" s="508">
        <f t="shared" si="59"/>
        <v>0</v>
      </c>
      <c r="AH180" s="508">
        <f t="shared" si="60"/>
        <v>200</v>
      </c>
      <c r="AI180" s="508">
        <f t="shared" si="61"/>
        <v>0</v>
      </c>
      <c r="AJ180" s="508">
        <f t="shared" si="62"/>
        <v>29.06</v>
      </c>
      <c r="AK180" s="508">
        <f t="shared" si="63"/>
        <v>200</v>
      </c>
      <c r="AL180" s="116">
        <v>15</v>
      </c>
      <c r="AM180" s="486">
        <f t="shared" si="64"/>
        <v>14.76</v>
      </c>
      <c r="AN180" s="117">
        <f t="shared" si="69"/>
        <v>0</v>
      </c>
      <c r="AO180" s="487">
        <f t="shared" si="65"/>
        <v>0</v>
      </c>
      <c r="AP180" s="610"/>
    </row>
    <row r="181" spans="1:42" ht="14.25" customHeight="1">
      <c r="A181" s="701">
        <v>175</v>
      </c>
      <c r="B181" s="477"/>
      <c r="C181" s="477" t="s">
        <v>1529</v>
      </c>
      <c r="D181" s="477"/>
      <c r="E181" s="475" t="s">
        <v>1453</v>
      </c>
      <c r="F181" s="611" t="s">
        <v>2039</v>
      </c>
      <c r="G181" s="579" t="s">
        <v>1923</v>
      </c>
      <c r="H181" s="482">
        <v>1</v>
      </c>
      <c r="I181" s="580">
        <v>40544</v>
      </c>
      <c r="J181" s="580">
        <v>37681</v>
      </c>
      <c r="K181" s="581">
        <v>11560</v>
      </c>
      <c r="L181" s="581">
        <v>458.12</v>
      </c>
      <c r="M181" s="582"/>
      <c r="N181" s="582"/>
      <c r="O181" s="582"/>
      <c r="P181" s="582">
        <f t="shared" si="51"/>
        <v>11560</v>
      </c>
      <c r="Q181" s="582">
        <f t="shared" si="52"/>
        <v>458.12</v>
      </c>
      <c r="R181" s="583">
        <f t="shared" si="53"/>
        <v>200</v>
      </c>
      <c r="S181" s="584"/>
      <c r="T181" s="584"/>
      <c r="U181" s="585">
        <f>IF(S181="",R181,ROUND(R181*S181/100,0))</f>
        <v>200</v>
      </c>
      <c r="V181" s="586">
        <f t="shared" si="54"/>
        <v>-56.34</v>
      </c>
      <c r="W181" s="477"/>
      <c r="X181" s="618">
        <f t="shared" si="71"/>
        <v>11560</v>
      </c>
      <c r="Y181" s="618"/>
      <c r="Z181" s="617">
        <v>200</v>
      </c>
      <c r="AA181" s="361">
        <f t="shared" si="55"/>
        <v>170.94</v>
      </c>
      <c r="AB181" s="597"/>
      <c r="AC181" s="485">
        <f t="shared" si="56"/>
        <v>0</v>
      </c>
      <c r="AD181" s="597"/>
      <c r="AE181" s="485">
        <f t="shared" si="57"/>
        <v>0</v>
      </c>
      <c r="AF181" s="508">
        <f t="shared" si="58"/>
        <v>0</v>
      </c>
      <c r="AG181" s="508">
        <f t="shared" si="59"/>
        <v>0</v>
      </c>
      <c r="AH181" s="508">
        <f t="shared" si="60"/>
        <v>200</v>
      </c>
      <c r="AI181" s="508">
        <f t="shared" si="61"/>
        <v>0</v>
      </c>
      <c r="AJ181" s="508">
        <f t="shared" si="62"/>
        <v>29.06</v>
      </c>
      <c r="AK181" s="508">
        <f t="shared" si="63"/>
        <v>200</v>
      </c>
      <c r="AL181" s="116">
        <v>15</v>
      </c>
      <c r="AM181" s="486">
        <f t="shared" si="64"/>
        <v>14.76</v>
      </c>
      <c r="AN181" s="117">
        <f t="shared" si="69"/>
        <v>0</v>
      </c>
      <c r="AO181" s="487">
        <f t="shared" si="65"/>
        <v>0</v>
      </c>
      <c r="AP181" s="610"/>
    </row>
    <row r="182" spans="1:42" ht="14.25" customHeight="1">
      <c r="A182" s="701">
        <v>176</v>
      </c>
      <c r="B182" s="477"/>
      <c r="C182" s="477" t="s">
        <v>1619</v>
      </c>
      <c r="D182" s="477"/>
      <c r="E182" s="475" t="s">
        <v>1453</v>
      </c>
      <c r="F182" s="477"/>
      <c r="G182" s="579" t="s">
        <v>1964</v>
      </c>
      <c r="H182" s="482">
        <v>1</v>
      </c>
      <c r="I182" s="580">
        <v>40544</v>
      </c>
      <c r="J182" s="580">
        <v>37681</v>
      </c>
      <c r="K182" s="581">
        <v>5360</v>
      </c>
      <c r="L182" s="581">
        <v>239.32</v>
      </c>
      <c r="M182" s="582"/>
      <c r="N182" s="582"/>
      <c r="O182" s="582"/>
      <c r="P182" s="582">
        <f t="shared" si="51"/>
        <v>5360</v>
      </c>
      <c r="Q182" s="582">
        <f t="shared" si="52"/>
        <v>239.32</v>
      </c>
      <c r="R182" s="583">
        <f t="shared" si="53"/>
        <v>100</v>
      </c>
      <c r="S182" s="584"/>
      <c r="T182" s="584">
        <v>3</v>
      </c>
      <c r="U182" s="585">
        <f t="shared" ref="U182:U208" si="72">ROUND(R182*(1-T182/100),0)</f>
        <v>97</v>
      </c>
      <c r="V182" s="586">
        <f t="shared" si="54"/>
        <v>-59.47</v>
      </c>
      <c r="W182" s="611" t="s">
        <v>2074</v>
      </c>
      <c r="X182" s="618">
        <f t="shared" si="71"/>
        <v>5360</v>
      </c>
      <c r="Y182" s="618"/>
      <c r="Z182" s="617">
        <v>100</v>
      </c>
      <c r="AA182" s="361">
        <f t="shared" si="55"/>
        <v>85.47</v>
      </c>
      <c r="AB182" s="597"/>
      <c r="AC182" s="485">
        <f t="shared" si="56"/>
        <v>0</v>
      </c>
      <c r="AD182" s="597"/>
      <c r="AE182" s="485">
        <f t="shared" si="57"/>
        <v>0</v>
      </c>
      <c r="AF182" s="508">
        <f t="shared" si="58"/>
        <v>0</v>
      </c>
      <c r="AG182" s="508">
        <f t="shared" si="59"/>
        <v>0</v>
      </c>
      <c r="AH182" s="508">
        <f t="shared" si="60"/>
        <v>100</v>
      </c>
      <c r="AI182" s="508">
        <f t="shared" si="61"/>
        <v>0</v>
      </c>
      <c r="AJ182" s="508">
        <f t="shared" si="62"/>
        <v>14.53</v>
      </c>
      <c r="AK182" s="508">
        <f t="shared" si="63"/>
        <v>100</v>
      </c>
      <c r="AL182" s="116">
        <v>12</v>
      </c>
      <c r="AM182" s="486">
        <f t="shared" si="64"/>
        <v>14.76</v>
      </c>
      <c r="AN182" s="117">
        <f t="shared" si="69"/>
        <v>-3</v>
      </c>
      <c r="AO182" s="487">
        <f t="shared" si="65"/>
        <v>-26</v>
      </c>
      <c r="AP182" s="610"/>
    </row>
    <row r="183" spans="1:42" ht="14.25" customHeight="1">
      <c r="A183" s="701">
        <v>177</v>
      </c>
      <c r="B183" s="477"/>
      <c r="C183" s="477" t="s">
        <v>1785</v>
      </c>
      <c r="D183" s="477" t="s">
        <v>1282</v>
      </c>
      <c r="E183" s="475" t="s">
        <v>1453</v>
      </c>
      <c r="F183" s="611" t="s">
        <v>2067</v>
      </c>
      <c r="G183" s="579" t="s">
        <v>1923</v>
      </c>
      <c r="H183" s="482">
        <v>1</v>
      </c>
      <c r="I183" s="580">
        <v>40544</v>
      </c>
      <c r="J183" s="580">
        <v>37681</v>
      </c>
      <c r="K183" s="581">
        <v>2800</v>
      </c>
      <c r="L183" s="581">
        <v>0</v>
      </c>
      <c r="M183" s="582"/>
      <c r="N183" s="582"/>
      <c r="O183" s="582"/>
      <c r="P183" s="582">
        <f t="shared" si="51"/>
        <v>2800</v>
      </c>
      <c r="Q183" s="582">
        <f t="shared" si="52"/>
        <v>0</v>
      </c>
      <c r="R183" s="583">
        <f t="shared" si="53"/>
        <v>0</v>
      </c>
      <c r="S183" s="584"/>
      <c r="T183" s="584"/>
      <c r="U183" s="585">
        <f t="shared" si="72"/>
        <v>0</v>
      </c>
      <c r="V183" s="586" t="str">
        <f t="shared" si="54"/>
        <v/>
      </c>
      <c r="W183" s="611" t="s">
        <v>2074</v>
      </c>
      <c r="X183" s="618">
        <f t="shared" si="71"/>
        <v>2800</v>
      </c>
      <c r="Y183" s="618"/>
      <c r="Z183" s="617">
        <v>0</v>
      </c>
      <c r="AA183" s="361">
        <f t="shared" si="55"/>
        <v>0</v>
      </c>
      <c r="AB183" s="597"/>
      <c r="AC183" s="485">
        <f t="shared" si="56"/>
        <v>0</v>
      </c>
      <c r="AD183" s="597"/>
      <c r="AE183" s="485">
        <f t="shared" si="57"/>
        <v>0</v>
      </c>
      <c r="AF183" s="508">
        <f t="shared" si="58"/>
        <v>0</v>
      </c>
      <c r="AG183" s="508">
        <f t="shared" si="59"/>
        <v>0</v>
      </c>
      <c r="AH183" s="508">
        <f t="shared" si="60"/>
        <v>0</v>
      </c>
      <c r="AI183" s="508">
        <f t="shared" si="61"/>
        <v>0</v>
      </c>
      <c r="AJ183" s="508">
        <f t="shared" si="62"/>
        <v>0</v>
      </c>
      <c r="AK183" s="508">
        <f t="shared" si="63"/>
        <v>0</v>
      </c>
      <c r="AM183" s="486">
        <f t="shared" si="64"/>
        <v>14.76</v>
      </c>
      <c r="AN183" s="117">
        <f t="shared" si="69"/>
        <v>-15</v>
      </c>
      <c r="AO183" s="487">
        <f t="shared" si="65"/>
        <v>6250</v>
      </c>
      <c r="AP183" s="610"/>
    </row>
    <row r="184" spans="1:42" ht="14.25" customHeight="1">
      <c r="A184" s="701">
        <v>178</v>
      </c>
      <c r="B184" s="477"/>
      <c r="C184" s="477" t="s">
        <v>1785</v>
      </c>
      <c r="D184" s="477" t="s">
        <v>1283</v>
      </c>
      <c r="E184" s="475" t="s">
        <v>1453</v>
      </c>
      <c r="F184" s="611" t="s">
        <v>2067</v>
      </c>
      <c r="G184" s="579" t="s">
        <v>1923</v>
      </c>
      <c r="H184" s="482">
        <v>1</v>
      </c>
      <c r="I184" s="580">
        <v>40544</v>
      </c>
      <c r="J184" s="580">
        <v>37681</v>
      </c>
      <c r="K184" s="581">
        <v>2320</v>
      </c>
      <c r="L184" s="581">
        <v>0</v>
      </c>
      <c r="M184" s="582"/>
      <c r="N184" s="582"/>
      <c r="O184" s="582"/>
      <c r="P184" s="582">
        <f t="shared" si="51"/>
        <v>2320</v>
      </c>
      <c r="Q184" s="582">
        <f t="shared" si="52"/>
        <v>0</v>
      </c>
      <c r="R184" s="583">
        <f t="shared" si="53"/>
        <v>0</v>
      </c>
      <c r="S184" s="584"/>
      <c r="T184" s="584"/>
      <c r="U184" s="585">
        <f t="shared" si="72"/>
        <v>0</v>
      </c>
      <c r="V184" s="586" t="str">
        <f t="shared" si="54"/>
        <v/>
      </c>
      <c r="W184" s="611" t="s">
        <v>2074</v>
      </c>
      <c r="X184" s="618">
        <f t="shared" si="71"/>
        <v>2320</v>
      </c>
      <c r="Y184" s="618"/>
      <c r="Z184" s="617">
        <v>0</v>
      </c>
      <c r="AA184" s="361">
        <f t="shared" si="55"/>
        <v>0</v>
      </c>
      <c r="AB184" s="597"/>
      <c r="AC184" s="485">
        <f t="shared" si="56"/>
        <v>0</v>
      </c>
      <c r="AD184" s="597"/>
      <c r="AE184" s="485">
        <f t="shared" si="57"/>
        <v>0</v>
      </c>
      <c r="AF184" s="508">
        <f t="shared" si="58"/>
        <v>0</v>
      </c>
      <c r="AG184" s="508">
        <f t="shared" si="59"/>
        <v>0</v>
      </c>
      <c r="AH184" s="508">
        <f t="shared" si="60"/>
        <v>0</v>
      </c>
      <c r="AI184" s="508">
        <f t="shared" si="61"/>
        <v>0</v>
      </c>
      <c r="AJ184" s="508">
        <f t="shared" si="62"/>
        <v>0</v>
      </c>
      <c r="AK184" s="508">
        <f t="shared" si="63"/>
        <v>0</v>
      </c>
      <c r="AM184" s="486">
        <f t="shared" si="64"/>
        <v>14.76</v>
      </c>
      <c r="AN184" s="117">
        <f t="shared" si="69"/>
        <v>-15</v>
      </c>
      <c r="AO184" s="487">
        <f t="shared" si="65"/>
        <v>6250</v>
      </c>
      <c r="AP184" s="610"/>
    </row>
    <row r="185" spans="1:42" ht="14.25" customHeight="1">
      <c r="A185" s="701">
        <v>179</v>
      </c>
      <c r="B185" s="477"/>
      <c r="C185" s="477" t="s">
        <v>1785</v>
      </c>
      <c r="D185" s="477" t="s">
        <v>1283</v>
      </c>
      <c r="E185" s="475" t="s">
        <v>1453</v>
      </c>
      <c r="F185" s="611" t="s">
        <v>2067</v>
      </c>
      <c r="G185" s="579" t="s">
        <v>1923</v>
      </c>
      <c r="H185" s="482">
        <v>1</v>
      </c>
      <c r="I185" s="580">
        <v>40544</v>
      </c>
      <c r="J185" s="580">
        <v>37681</v>
      </c>
      <c r="K185" s="581">
        <v>2320</v>
      </c>
      <c r="L185" s="581">
        <v>0</v>
      </c>
      <c r="M185" s="582"/>
      <c r="N185" s="582"/>
      <c r="O185" s="582"/>
      <c r="P185" s="582">
        <f t="shared" si="51"/>
        <v>2320</v>
      </c>
      <c r="Q185" s="582">
        <f t="shared" si="52"/>
        <v>0</v>
      </c>
      <c r="R185" s="583">
        <f t="shared" si="53"/>
        <v>0</v>
      </c>
      <c r="S185" s="584"/>
      <c r="T185" s="584"/>
      <c r="U185" s="585">
        <f t="shared" si="72"/>
        <v>0</v>
      </c>
      <c r="V185" s="586" t="str">
        <f t="shared" si="54"/>
        <v/>
      </c>
      <c r="W185" s="611" t="s">
        <v>2074</v>
      </c>
      <c r="X185" s="618">
        <f t="shared" si="71"/>
        <v>2320</v>
      </c>
      <c r="Y185" s="618"/>
      <c r="Z185" s="617">
        <v>0</v>
      </c>
      <c r="AA185" s="361">
        <f t="shared" si="55"/>
        <v>0</v>
      </c>
      <c r="AB185" s="597"/>
      <c r="AC185" s="485">
        <f t="shared" si="56"/>
        <v>0</v>
      </c>
      <c r="AD185" s="597"/>
      <c r="AE185" s="485">
        <f t="shared" si="57"/>
        <v>0</v>
      </c>
      <c r="AF185" s="508">
        <f t="shared" si="58"/>
        <v>0</v>
      </c>
      <c r="AG185" s="508">
        <f t="shared" si="59"/>
        <v>0</v>
      </c>
      <c r="AH185" s="508">
        <f t="shared" si="60"/>
        <v>0</v>
      </c>
      <c r="AI185" s="508">
        <f t="shared" si="61"/>
        <v>0</v>
      </c>
      <c r="AJ185" s="508">
        <f t="shared" si="62"/>
        <v>0</v>
      </c>
      <c r="AK185" s="508">
        <f t="shared" si="63"/>
        <v>0</v>
      </c>
      <c r="AM185" s="486">
        <f t="shared" si="64"/>
        <v>14.76</v>
      </c>
      <c r="AN185" s="117">
        <f t="shared" si="69"/>
        <v>-15</v>
      </c>
      <c r="AO185" s="487">
        <f t="shared" si="65"/>
        <v>6250</v>
      </c>
      <c r="AP185" s="610"/>
    </row>
    <row r="186" spans="1:42" ht="14.25" customHeight="1">
      <c r="A186" s="701">
        <v>180</v>
      </c>
      <c r="B186" s="477"/>
      <c r="C186" s="477" t="s">
        <v>1785</v>
      </c>
      <c r="D186" s="477" t="s">
        <v>1283</v>
      </c>
      <c r="E186" s="475" t="s">
        <v>1453</v>
      </c>
      <c r="F186" s="611" t="s">
        <v>2067</v>
      </c>
      <c r="G186" s="579" t="s">
        <v>1923</v>
      </c>
      <c r="H186" s="482">
        <v>1</v>
      </c>
      <c r="I186" s="580">
        <v>40544</v>
      </c>
      <c r="J186" s="580">
        <v>37681</v>
      </c>
      <c r="K186" s="581">
        <v>2320</v>
      </c>
      <c r="L186" s="581">
        <v>0</v>
      </c>
      <c r="M186" s="582"/>
      <c r="N186" s="582"/>
      <c r="O186" s="582"/>
      <c r="P186" s="582">
        <f t="shared" si="51"/>
        <v>2320</v>
      </c>
      <c r="Q186" s="582">
        <f t="shared" si="52"/>
        <v>0</v>
      </c>
      <c r="R186" s="583">
        <f t="shared" si="53"/>
        <v>0</v>
      </c>
      <c r="S186" s="584"/>
      <c r="T186" s="584"/>
      <c r="U186" s="585">
        <f t="shared" si="72"/>
        <v>0</v>
      </c>
      <c r="V186" s="586" t="str">
        <f t="shared" si="54"/>
        <v/>
      </c>
      <c r="W186" s="611" t="s">
        <v>2074</v>
      </c>
      <c r="X186" s="618">
        <f t="shared" si="71"/>
        <v>2320</v>
      </c>
      <c r="Y186" s="618"/>
      <c r="Z186" s="617">
        <v>0</v>
      </c>
      <c r="AA186" s="361">
        <f t="shared" si="55"/>
        <v>0</v>
      </c>
      <c r="AB186" s="597"/>
      <c r="AC186" s="485">
        <f t="shared" si="56"/>
        <v>0</v>
      </c>
      <c r="AD186" s="597"/>
      <c r="AE186" s="485">
        <f t="shared" si="57"/>
        <v>0</v>
      </c>
      <c r="AF186" s="508">
        <f t="shared" si="58"/>
        <v>0</v>
      </c>
      <c r="AG186" s="508">
        <f t="shared" si="59"/>
        <v>0</v>
      </c>
      <c r="AH186" s="508">
        <f t="shared" si="60"/>
        <v>0</v>
      </c>
      <c r="AI186" s="508">
        <f t="shared" si="61"/>
        <v>0</v>
      </c>
      <c r="AJ186" s="508">
        <f t="shared" si="62"/>
        <v>0</v>
      </c>
      <c r="AK186" s="508">
        <f t="shared" si="63"/>
        <v>0</v>
      </c>
      <c r="AM186" s="486">
        <f t="shared" si="64"/>
        <v>14.76</v>
      </c>
      <c r="AN186" s="117">
        <f t="shared" si="69"/>
        <v>-15</v>
      </c>
      <c r="AO186" s="487">
        <f t="shared" si="65"/>
        <v>6250</v>
      </c>
      <c r="AP186" s="610"/>
    </row>
    <row r="187" spans="1:42" ht="14.25" customHeight="1">
      <c r="A187" s="701">
        <v>181</v>
      </c>
      <c r="B187" s="477"/>
      <c r="C187" s="477" t="s">
        <v>1785</v>
      </c>
      <c r="D187" s="477" t="s">
        <v>1283</v>
      </c>
      <c r="E187" s="475" t="s">
        <v>1453</v>
      </c>
      <c r="F187" s="611" t="s">
        <v>2067</v>
      </c>
      <c r="G187" s="579" t="s">
        <v>1923</v>
      </c>
      <c r="H187" s="482">
        <v>1</v>
      </c>
      <c r="I187" s="580">
        <v>40544</v>
      </c>
      <c r="J187" s="580">
        <v>37681</v>
      </c>
      <c r="K187" s="581">
        <v>2320</v>
      </c>
      <c r="L187" s="581">
        <v>0</v>
      </c>
      <c r="M187" s="582"/>
      <c r="N187" s="582"/>
      <c r="O187" s="582"/>
      <c r="P187" s="582">
        <f t="shared" si="51"/>
        <v>2320</v>
      </c>
      <c r="Q187" s="582">
        <f t="shared" si="52"/>
        <v>0</v>
      </c>
      <c r="R187" s="583">
        <f t="shared" si="53"/>
        <v>0</v>
      </c>
      <c r="S187" s="584"/>
      <c r="T187" s="584"/>
      <c r="U187" s="585">
        <f t="shared" si="72"/>
        <v>0</v>
      </c>
      <c r="V187" s="586" t="str">
        <f t="shared" si="54"/>
        <v/>
      </c>
      <c r="W187" s="611" t="s">
        <v>2074</v>
      </c>
      <c r="X187" s="618">
        <f t="shared" si="71"/>
        <v>2320</v>
      </c>
      <c r="Y187" s="618"/>
      <c r="Z187" s="617">
        <v>0</v>
      </c>
      <c r="AA187" s="361">
        <f t="shared" si="55"/>
        <v>0</v>
      </c>
      <c r="AB187" s="597"/>
      <c r="AC187" s="485">
        <f t="shared" si="56"/>
        <v>0</v>
      </c>
      <c r="AD187" s="597"/>
      <c r="AE187" s="485">
        <f t="shared" si="57"/>
        <v>0</v>
      </c>
      <c r="AF187" s="508">
        <f t="shared" si="58"/>
        <v>0</v>
      </c>
      <c r="AG187" s="508">
        <f t="shared" si="59"/>
        <v>0</v>
      </c>
      <c r="AH187" s="508">
        <f t="shared" si="60"/>
        <v>0</v>
      </c>
      <c r="AI187" s="508">
        <f t="shared" si="61"/>
        <v>0</v>
      </c>
      <c r="AJ187" s="508">
        <f t="shared" si="62"/>
        <v>0</v>
      </c>
      <c r="AK187" s="508">
        <f t="shared" si="63"/>
        <v>0</v>
      </c>
      <c r="AM187" s="486">
        <f t="shared" si="64"/>
        <v>14.76</v>
      </c>
      <c r="AN187" s="117">
        <f t="shared" si="69"/>
        <v>-15</v>
      </c>
      <c r="AO187" s="487">
        <f t="shared" si="65"/>
        <v>6250</v>
      </c>
      <c r="AP187" s="610"/>
    </row>
    <row r="188" spans="1:42" ht="14.25" customHeight="1">
      <c r="A188" s="701">
        <v>182</v>
      </c>
      <c r="B188" s="477"/>
      <c r="C188" s="477" t="s">
        <v>1785</v>
      </c>
      <c r="D188" s="477" t="s">
        <v>1283</v>
      </c>
      <c r="E188" s="475" t="s">
        <v>1453</v>
      </c>
      <c r="F188" s="611" t="s">
        <v>2067</v>
      </c>
      <c r="G188" s="579" t="s">
        <v>1923</v>
      </c>
      <c r="H188" s="482">
        <v>1</v>
      </c>
      <c r="I188" s="580">
        <v>40544</v>
      </c>
      <c r="J188" s="580">
        <v>37681</v>
      </c>
      <c r="K188" s="581">
        <v>2320</v>
      </c>
      <c r="L188" s="581">
        <v>0</v>
      </c>
      <c r="M188" s="582"/>
      <c r="N188" s="582"/>
      <c r="O188" s="582"/>
      <c r="P188" s="582">
        <f t="shared" si="51"/>
        <v>2320</v>
      </c>
      <c r="Q188" s="582">
        <f t="shared" si="52"/>
        <v>0</v>
      </c>
      <c r="R188" s="583">
        <f t="shared" si="53"/>
        <v>0</v>
      </c>
      <c r="S188" s="584"/>
      <c r="T188" s="584"/>
      <c r="U188" s="585">
        <f t="shared" si="72"/>
        <v>0</v>
      </c>
      <c r="V188" s="586" t="str">
        <f t="shared" si="54"/>
        <v/>
      </c>
      <c r="W188" s="611" t="s">
        <v>2074</v>
      </c>
      <c r="X188" s="618">
        <f t="shared" si="71"/>
        <v>2320</v>
      </c>
      <c r="Y188" s="618"/>
      <c r="Z188" s="617">
        <v>0</v>
      </c>
      <c r="AA188" s="361">
        <f t="shared" si="55"/>
        <v>0</v>
      </c>
      <c r="AB188" s="597"/>
      <c r="AC188" s="485">
        <f t="shared" si="56"/>
        <v>0</v>
      </c>
      <c r="AD188" s="597"/>
      <c r="AE188" s="485">
        <f t="shared" si="57"/>
        <v>0</v>
      </c>
      <c r="AF188" s="508">
        <f t="shared" si="58"/>
        <v>0</v>
      </c>
      <c r="AG188" s="508">
        <f t="shared" si="59"/>
        <v>0</v>
      </c>
      <c r="AH188" s="508">
        <f t="shared" si="60"/>
        <v>0</v>
      </c>
      <c r="AI188" s="508">
        <f t="shared" si="61"/>
        <v>0</v>
      </c>
      <c r="AJ188" s="508">
        <f t="shared" si="62"/>
        <v>0</v>
      </c>
      <c r="AK188" s="508">
        <f t="shared" si="63"/>
        <v>0</v>
      </c>
      <c r="AM188" s="486">
        <f t="shared" si="64"/>
        <v>14.76</v>
      </c>
      <c r="AN188" s="117">
        <f t="shared" si="69"/>
        <v>-15</v>
      </c>
      <c r="AO188" s="487">
        <f t="shared" si="65"/>
        <v>6250</v>
      </c>
      <c r="AP188" s="610"/>
    </row>
    <row r="189" spans="1:42" ht="14.25" customHeight="1">
      <c r="A189" s="701">
        <v>183</v>
      </c>
      <c r="B189" s="477"/>
      <c r="C189" s="477" t="s">
        <v>1785</v>
      </c>
      <c r="D189" s="477" t="s">
        <v>1283</v>
      </c>
      <c r="E189" s="475" t="s">
        <v>1453</v>
      </c>
      <c r="F189" s="611" t="s">
        <v>2067</v>
      </c>
      <c r="G189" s="579" t="s">
        <v>1923</v>
      </c>
      <c r="H189" s="482">
        <v>1</v>
      </c>
      <c r="I189" s="580">
        <v>40544</v>
      </c>
      <c r="J189" s="580">
        <v>37681</v>
      </c>
      <c r="K189" s="581">
        <v>2320</v>
      </c>
      <c r="L189" s="581">
        <v>0</v>
      </c>
      <c r="M189" s="582"/>
      <c r="N189" s="582"/>
      <c r="O189" s="582"/>
      <c r="P189" s="582">
        <f t="shared" si="51"/>
        <v>2320</v>
      </c>
      <c r="Q189" s="582">
        <f t="shared" si="52"/>
        <v>0</v>
      </c>
      <c r="R189" s="583">
        <f t="shared" si="53"/>
        <v>0</v>
      </c>
      <c r="S189" s="584"/>
      <c r="T189" s="584"/>
      <c r="U189" s="585">
        <f t="shared" si="72"/>
        <v>0</v>
      </c>
      <c r="V189" s="586" t="str">
        <f t="shared" si="54"/>
        <v/>
      </c>
      <c r="W189" s="611" t="s">
        <v>2074</v>
      </c>
      <c r="X189" s="618">
        <f t="shared" si="71"/>
        <v>2320</v>
      </c>
      <c r="Y189" s="618"/>
      <c r="Z189" s="617">
        <v>0</v>
      </c>
      <c r="AA189" s="361">
        <f t="shared" si="55"/>
        <v>0</v>
      </c>
      <c r="AB189" s="597"/>
      <c r="AC189" s="485">
        <f t="shared" si="56"/>
        <v>0</v>
      </c>
      <c r="AD189" s="597"/>
      <c r="AE189" s="485">
        <f t="shared" si="57"/>
        <v>0</v>
      </c>
      <c r="AF189" s="508">
        <f t="shared" si="58"/>
        <v>0</v>
      </c>
      <c r="AG189" s="508">
        <f t="shared" si="59"/>
        <v>0</v>
      </c>
      <c r="AH189" s="508">
        <f t="shared" si="60"/>
        <v>0</v>
      </c>
      <c r="AI189" s="508">
        <f t="shared" si="61"/>
        <v>0</v>
      </c>
      <c r="AJ189" s="508">
        <f t="shared" si="62"/>
        <v>0</v>
      </c>
      <c r="AK189" s="508">
        <f t="shared" si="63"/>
        <v>0</v>
      </c>
      <c r="AM189" s="486">
        <f t="shared" si="64"/>
        <v>14.76</v>
      </c>
      <c r="AN189" s="117">
        <f t="shared" si="69"/>
        <v>-15</v>
      </c>
      <c r="AO189" s="487">
        <f t="shared" si="65"/>
        <v>6250</v>
      </c>
      <c r="AP189" s="610"/>
    </row>
    <row r="190" spans="1:42" ht="14.25" customHeight="1">
      <c r="A190" s="701">
        <v>184</v>
      </c>
      <c r="B190" s="477"/>
      <c r="C190" s="477" t="s">
        <v>1785</v>
      </c>
      <c r="D190" s="477" t="s">
        <v>1283</v>
      </c>
      <c r="E190" s="475" t="s">
        <v>1453</v>
      </c>
      <c r="F190" s="611" t="s">
        <v>2067</v>
      </c>
      <c r="G190" s="579" t="s">
        <v>1923</v>
      </c>
      <c r="H190" s="482">
        <v>1</v>
      </c>
      <c r="I190" s="580">
        <v>40544</v>
      </c>
      <c r="J190" s="580">
        <v>37681</v>
      </c>
      <c r="K190" s="581">
        <v>2320</v>
      </c>
      <c r="L190" s="581">
        <v>0</v>
      </c>
      <c r="M190" s="582"/>
      <c r="N190" s="582"/>
      <c r="O190" s="582"/>
      <c r="P190" s="582">
        <f t="shared" si="51"/>
        <v>2320</v>
      </c>
      <c r="Q190" s="582">
        <f t="shared" si="52"/>
        <v>0</v>
      </c>
      <c r="R190" s="583">
        <f t="shared" si="53"/>
        <v>0</v>
      </c>
      <c r="S190" s="584"/>
      <c r="T190" s="584"/>
      <c r="U190" s="585">
        <f t="shared" si="72"/>
        <v>0</v>
      </c>
      <c r="V190" s="586" t="str">
        <f t="shared" si="54"/>
        <v/>
      </c>
      <c r="W190" s="611" t="s">
        <v>2074</v>
      </c>
      <c r="X190" s="618">
        <f t="shared" si="71"/>
        <v>2320</v>
      </c>
      <c r="Y190" s="618"/>
      <c r="Z190" s="617">
        <v>0</v>
      </c>
      <c r="AA190" s="361">
        <f t="shared" si="55"/>
        <v>0</v>
      </c>
      <c r="AB190" s="597"/>
      <c r="AC190" s="485">
        <f t="shared" si="56"/>
        <v>0</v>
      </c>
      <c r="AD190" s="597"/>
      <c r="AE190" s="485">
        <f t="shared" si="57"/>
        <v>0</v>
      </c>
      <c r="AF190" s="508">
        <f t="shared" si="58"/>
        <v>0</v>
      </c>
      <c r="AG190" s="508">
        <f t="shared" si="59"/>
        <v>0</v>
      </c>
      <c r="AH190" s="508">
        <f t="shared" si="60"/>
        <v>0</v>
      </c>
      <c r="AI190" s="508">
        <f t="shared" si="61"/>
        <v>0</v>
      </c>
      <c r="AJ190" s="508">
        <f t="shared" si="62"/>
        <v>0</v>
      </c>
      <c r="AK190" s="508">
        <f t="shared" si="63"/>
        <v>0</v>
      </c>
      <c r="AM190" s="486">
        <f t="shared" si="64"/>
        <v>14.76</v>
      </c>
      <c r="AN190" s="117">
        <f t="shared" si="69"/>
        <v>-15</v>
      </c>
      <c r="AO190" s="487">
        <f t="shared" si="65"/>
        <v>6250</v>
      </c>
      <c r="AP190" s="610"/>
    </row>
    <row r="191" spans="1:42" ht="14.25" customHeight="1">
      <c r="A191" s="701">
        <v>185</v>
      </c>
      <c r="B191" s="477"/>
      <c r="C191" s="477" t="s">
        <v>1785</v>
      </c>
      <c r="D191" s="477" t="s">
        <v>1283</v>
      </c>
      <c r="E191" s="475" t="s">
        <v>1453</v>
      </c>
      <c r="F191" s="611" t="s">
        <v>2067</v>
      </c>
      <c r="G191" s="579" t="s">
        <v>1923</v>
      </c>
      <c r="H191" s="482">
        <v>1</v>
      </c>
      <c r="I191" s="580">
        <v>40544</v>
      </c>
      <c r="J191" s="580">
        <v>37681</v>
      </c>
      <c r="K191" s="581">
        <v>2320</v>
      </c>
      <c r="L191" s="581">
        <v>0</v>
      </c>
      <c r="M191" s="582"/>
      <c r="N191" s="582"/>
      <c r="O191" s="582"/>
      <c r="P191" s="582">
        <f t="shared" si="51"/>
        <v>2320</v>
      </c>
      <c r="Q191" s="582">
        <f t="shared" si="52"/>
        <v>0</v>
      </c>
      <c r="R191" s="583">
        <f t="shared" si="53"/>
        <v>0</v>
      </c>
      <c r="S191" s="584"/>
      <c r="T191" s="584"/>
      <c r="U191" s="585">
        <f t="shared" si="72"/>
        <v>0</v>
      </c>
      <c r="V191" s="586" t="str">
        <f t="shared" si="54"/>
        <v/>
      </c>
      <c r="W191" s="611" t="s">
        <v>2074</v>
      </c>
      <c r="X191" s="618">
        <f t="shared" si="71"/>
        <v>2320</v>
      </c>
      <c r="Y191" s="618"/>
      <c r="Z191" s="617">
        <v>0</v>
      </c>
      <c r="AA191" s="361">
        <f t="shared" si="55"/>
        <v>0</v>
      </c>
      <c r="AB191" s="597"/>
      <c r="AC191" s="485">
        <f t="shared" si="56"/>
        <v>0</v>
      </c>
      <c r="AD191" s="597"/>
      <c r="AE191" s="485">
        <f t="shared" si="57"/>
        <v>0</v>
      </c>
      <c r="AF191" s="508">
        <f t="shared" si="58"/>
        <v>0</v>
      </c>
      <c r="AG191" s="508">
        <f t="shared" si="59"/>
        <v>0</v>
      </c>
      <c r="AH191" s="508">
        <f t="shared" si="60"/>
        <v>0</v>
      </c>
      <c r="AI191" s="508">
        <f t="shared" si="61"/>
        <v>0</v>
      </c>
      <c r="AJ191" s="508">
        <f t="shared" si="62"/>
        <v>0</v>
      </c>
      <c r="AK191" s="508">
        <f t="shared" si="63"/>
        <v>0</v>
      </c>
      <c r="AM191" s="486">
        <f t="shared" si="64"/>
        <v>14.76</v>
      </c>
      <c r="AN191" s="117">
        <f t="shared" si="69"/>
        <v>-15</v>
      </c>
      <c r="AO191" s="487">
        <f t="shared" si="65"/>
        <v>6250</v>
      </c>
      <c r="AP191" s="610"/>
    </row>
    <row r="192" spans="1:42" ht="14.25" customHeight="1">
      <c r="A192" s="701">
        <v>186</v>
      </c>
      <c r="B192" s="477"/>
      <c r="C192" s="477" t="s">
        <v>1747</v>
      </c>
      <c r="D192" s="477"/>
      <c r="E192" s="475" t="s">
        <v>1453</v>
      </c>
      <c r="F192" s="477"/>
      <c r="G192" s="579" t="s">
        <v>1923</v>
      </c>
      <c r="H192" s="482">
        <v>1</v>
      </c>
      <c r="I192" s="580">
        <v>40544</v>
      </c>
      <c r="J192" s="580">
        <v>37681</v>
      </c>
      <c r="K192" s="581">
        <v>6240</v>
      </c>
      <c r="L192" s="581">
        <v>0</v>
      </c>
      <c r="M192" s="582"/>
      <c r="N192" s="582"/>
      <c r="O192" s="582"/>
      <c r="P192" s="582">
        <f t="shared" si="51"/>
        <v>6240</v>
      </c>
      <c r="Q192" s="582">
        <f t="shared" si="52"/>
        <v>0</v>
      </c>
      <c r="R192" s="583">
        <f t="shared" si="53"/>
        <v>100</v>
      </c>
      <c r="S192" s="584"/>
      <c r="T192" s="584">
        <v>3</v>
      </c>
      <c r="U192" s="585">
        <f t="shared" si="72"/>
        <v>97</v>
      </c>
      <c r="V192" s="586" t="str">
        <f t="shared" si="54"/>
        <v/>
      </c>
      <c r="W192" s="611" t="s">
        <v>2074</v>
      </c>
      <c r="X192" s="618">
        <f t="shared" si="71"/>
        <v>6240</v>
      </c>
      <c r="Y192" s="618"/>
      <c r="Z192" s="617">
        <v>100</v>
      </c>
      <c r="AA192" s="361">
        <f t="shared" si="55"/>
        <v>85.47</v>
      </c>
      <c r="AB192" s="597"/>
      <c r="AC192" s="485">
        <f t="shared" si="56"/>
        <v>0</v>
      </c>
      <c r="AD192" s="597"/>
      <c r="AE192" s="485">
        <f t="shared" si="57"/>
        <v>0</v>
      </c>
      <c r="AF192" s="508">
        <f t="shared" si="58"/>
        <v>0</v>
      </c>
      <c r="AG192" s="508">
        <f t="shared" si="59"/>
        <v>0</v>
      </c>
      <c r="AH192" s="508">
        <f t="shared" si="60"/>
        <v>100</v>
      </c>
      <c r="AI192" s="508">
        <f t="shared" si="61"/>
        <v>0</v>
      </c>
      <c r="AJ192" s="508">
        <f t="shared" si="62"/>
        <v>14.53</v>
      </c>
      <c r="AK192" s="508">
        <f t="shared" si="63"/>
        <v>100</v>
      </c>
      <c r="AM192" s="486">
        <f t="shared" si="64"/>
        <v>14.76</v>
      </c>
      <c r="AN192" s="117">
        <f t="shared" si="69"/>
        <v>-15</v>
      </c>
      <c r="AO192" s="487">
        <f t="shared" si="65"/>
        <v>6250</v>
      </c>
      <c r="AP192" s="610"/>
    </row>
    <row r="193" spans="1:42" ht="14.25" customHeight="1">
      <c r="A193" s="701">
        <v>187</v>
      </c>
      <c r="B193" s="477"/>
      <c r="C193" s="611" t="s">
        <v>1429</v>
      </c>
      <c r="D193" s="477" t="s">
        <v>1791</v>
      </c>
      <c r="E193" s="475" t="s">
        <v>1453</v>
      </c>
      <c r="F193" s="611" t="s">
        <v>2067</v>
      </c>
      <c r="G193" s="579" t="s">
        <v>1964</v>
      </c>
      <c r="H193" s="482">
        <v>1</v>
      </c>
      <c r="I193" s="580">
        <v>40544</v>
      </c>
      <c r="J193" s="580">
        <v>37681</v>
      </c>
      <c r="K193" s="581">
        <v>23920</v>
      </c>
      <c r="L193" s="581">
        <v>2044.44</v>
      </c>
      <c r="M193" s="582"/>
      <c r="N193" s="582"/>
      <c r="O193" s="582"/>
      <c r="P193" s="582">
        <f t="shared" si="51"/>
        <v>23920</v>
      </c>
      <c r="Q193" s="582">
        <f t="shared" si="52"/>
        <v>2044.44</v>
      </c>
      <c r="R193" s="583">
        <f t="shared" si="53"/>
        <v>0</v>
      </c>
      <c r="S193" s="584"/>
      <c r="T193" s="584"/>
      <c r="U193" s="585">
        <f t="shared" si="72"/>
        <v>0</v>
      </c>
      <c r="V193" s="586">
        <f t="shared" si="54"/>
        <v>-100</v>
      </c>
      <c r="W193" s="611" t="s">
        <v>2074</v>
      </c>
      <c r="X193" s="618">
        <f t="shared" si="71"/>
        <v>23920</v>
      </c>
      <c r="Y193" s="618"/>
      <c r="Z193" s="617">
        <v>0</v>
      </c>
      <c r="AA193" s="361">
        <f t="shared" si="55"/>
        <v>0</v>
      </c>
      <c r="AB193" s="597"/>
      <c r="AC193" s="485">
        <f t="shared" si="56"/>
        <v>0</v>
      </c>
      <c r="AD193" s="597"/>
      <c r="AE193" s="485">
        <f t="shared" si="57"/>
        <v>0</v>
      </c>
      <c r="AF193" s="508">
        <f t="shared" si="58"/>
        <v>0</v>
      </c>
      <c r="AG193" s="508">
        <f t="shared" si="59"/>
        <v>0</v>
      </c>
      <c r="AH193" s="508">
        <f t="shared" si="60"/>
        <v>0</v>
      </c>
      <c r="AI193" s="508">
        <f t="shared" si="61"/>
        <v>0</v>
      </c>
      <c r="AJ193" s="508">
        <f t="shared" si="62"/>
        <v>0</v>
      </c>
      <c r="AK193" s="508">
        <f t="shared" si="63"/>
        <v>0</v>
      </c>
      <c r="AL193" s="116">
        <v>10</v>
      </c>
      <c r="AM193" s="486">
        <f t="shared" si="64"/>
        <v>14.76</v>
      </c>
      <c r="AN193" s="117">
        <f t="shared" si="69"/>
        <v>-5</v>
      </c>
      <c r="AO193" s="487">
        <f t="shared" si="65"/>
        <v>-51</v>
      </c>
      <c r="AP193" s="610"/>
    </row>
    <row r="194" spans="1:42" ht="14.25" customHeight="1">
      <c r="A194" s="701">
        <v>188</v>
      </c>
      <c r="B194" s="477"/>
      <c r="C194" s="611" t="s">
        <v>1429</v>
      </c>
      <c r="D194" s="477" t="s">
        <v>1791</v>
      </c>
      <c r="E194" s="475" t="s">
        <v>1453</v>
      </c>
      <c r="F194" s="611" t="s">
        <v>2067</v>
      </c>
      <c r="G194" s="579" t="s">
        <v>1964</v>
      </c>
      <c r="H194" s="482">
        <v>1</v>
      </c>
      <c r="I194" s="580">
        <v>40544</v>
      </c>
      <c r="J194" s="580">
        <v>37681</v>
      </c>
      <c r="K194" s="581">
        <v>23920</v>
      </c>
      <c r="L194" s="581">
        <v>2172.2199999999998</v>
      </c>
      <c r="M194" s="582"/>
      <c r="N194" s="582"/>
      <c r="O194" s="582"/>
      <c r="P194" s="582">
        <f t="shared" si="51"/>
        <v>23920</v>
      </c>
      <c r="Q194" s="582">
        <f t="shared" si="52"/>
        <v>2172.2199999999998</v>
      </c>
      <c r="R194" s="583">
        <f t="shared" si="53"/>
        <v>0</v>
      </c>
      <c r="S194" s="584"/>
      <c r="T194" s="584"/>
      <c r="U194" s="585">
        <f t="shared" si="72"/>
        <v>0</v>
      </c>
      <c r="V194" s="586">
        <f t="shared" si="54"/>
        <v>-100</v>
      </c>
      <c r="W194" s="611" t="s">
        <v>2074</v>
      </c>
      <c r="X194" s="618">
        <f t="shared" si="71"/>
        <v>23920</v>
      </c>
      <c r="Y194" s="618"/>
      <c r="Z194" s="617">
        <v>0</v>
      </c>
      <c r="AA194" s="361">
        <f t="shared" si="55"/>
        <v>0</v>
      </c>
      <c r="AB194" s="597"/>
      <c r="AC194" s="485">
        <f t="shared" si="56"/>
        <v>0</v>
      </c>
      <c r="AD194" s="597"/>
      <c r="AE194" s="485">
        <f t="shared" si="57"/>
        <v>0</v>
      </c>
      <c r="AF194" s="508">
        <f t="shared" si="58"/>
        <v>0</v>
      </c>
      <c r="AG194" s="508">
        <f t="shared" si="59"/>
        <v>0</v>
      </c>
      <c r="AH194" s="508">
        <f t="shared" si="60"/>
        <v>0</v>
      </c>
      <c r="AI194" s="508">
        <f t="shared" si="61"/>
        <v>0</v>
      </c>
      <c r="AJ194" s="508">
        <f t="shared" si="62"/>
        <v>0</v>
      </c>
      <c r="AK194" s="508">
        <f t="shared" si="63"/>
        <v>0</v>
      </c>
      <c r="AL194" s="116">
        <v>10</v>
      </c>
      <c r="AM194" s="486">
        <f t="shared" si="64"/>
        <v>14.76</v>
      </c>
      <c r="AN194" s="117">
        <f t="shared" si="69"/>
        <v>-5</v>
      </c>
      <c r="AO194" s="487">
        <f t="shared" si="65"/>
        <v>-51</v>
      </c>
      <c r="AP194" s="610"/>
    </row>
    <row r="195" spans="1:42" ht="14.25" customHeight="1">
      <c r="A195" s="701">
        <v>189</v>
      </c>
      <c r="B195" s="477"/>
      <c r="C195" s="611" t="s">
        <v>1429</v>
      </c>
      <c r="D195" s="477" t="s">
        <v>1791</v>
      </c>
      <c r="E195" s="475" t="s">
        <v>1453</v>
      </c>
      <c r="F195" s="611" t="s">
        <v>2067</v>
      </c>
      <c r="G195" s="579" t="s">
        <v>1964</v>
      </c>
      <c r="H195" s="482">
        <v>1</v>
      </c>
      <c r="I195" s="580">
        <v>40544</v>
      </c>
      <c r="J195" s="580">
        <v>37681</v>
      </c>
      <c r="K195" s="581">
        <v>25415</v>
      </c>
      <c r="L195" s="581">
        <v>2172.2199999999998</v>
      </c>
      <c r="M195" s="582"/>
      <c r="N195" s="582"/>
      <c r="O195" s="582"/>
      <c r="P195" s="582">
        <f t="shared" si="51"/>
        <v>25415</v>
      </c>
      <c r="Q195" s="582">
        <f t="shared" si="52"/>
        <v>2172.2199999999998</v>
      </c>
      <c r="R195" s="583">
        <f t="shared" si="53"/>
        <v>0</v>
      </c>
      <c r="S195" s="584"/>
      <c r="T195" s="584"/>
      <c r="U195" s="585">
        <f t="shared" si="72"/>
        <v>0</v>
      </c>
      <c r="V195" s="586">
        <f t="shared" si="54"/>
        <v>-100</v>
      </c>
      <c r="W195" s="611" t="s">
        <v>2074</v>
      </c>
      <c r="X195" s="618">
        <f t="shared" si="71"/>
        <v>25415</v>
      </c>
      <c r="Y195" s="618"/>
      <c r="Z195" s="617">
        <v>0</v>
      </c>
      <c r="AA195" s="361">
        <f t="shared" si="55"/>
        <v>0</v>
      </c>
      <c r="AB195" s="597"/>
      <c r="AC195" s="485">
        <f t="shared" si="56"/>
        <v>0</v>
      </c>
      <c r="AD195" s="597"/>
      <c r="AE195" s="485">
        <f t="shared" si="57"/>
        <v>0</v>
      </c>
      <c r="AF195" s="508">
        <f t="shared" si="58"/>
        <v>0</v>
      </c>
      <c r="AG195" s="508">
        <f t="shared" si="59"/>
        <v>0</v>
      </c>
      <c r="AH195" s="508">
        <f t="shared" si="60"/>
        <v>0</v>
      </c>
      <c r="AI195" s="508">
        <f t="shared" si="61"/>
        <v>0</v>
      </c>
      <c r="AJ195" s="508">
        <f t="shared" si="62"/>
        <v>0</v>
      </c>
      <c r="AK195" s="508">
        <f t="shared" si="63"/>
        <v>0</v>
      </c>
      <c r="AL195" s="116">
        <v>10</v>
      </c>
      <c r="AM195" s="486">
        <f t="shared" si="64"/>
        <v>14.76</v>
      </c>
      <c r="AN195" s="117">
        <f t="shared" si="69"/>
        <v>-5</v>
      </c>
      <c r="AO195" s="487">
        <f t="shared" si="65"/>
        <v>-51</v>
      </c>
      <c r="AP195" s="610"/>
    </row>
    <row r="196" spans="1:42" ht="14.25" customHeight="1">
      <c r="A196" s="701">
        <v>190</v>
      </c>
      <c r="B196" s="477"/>
      <c r="C196" s="477" t="s">
        <v>1455</v>
      </c>
      <c r="D196" s="477" t="s">
        <v>1456</v>
      </c>
      <c r="E196" s="475" t="s">
        <v>1453</v>
      </c>
      <c r="F196" s="611" t="s">
        <v>2067</v>
      </c>
      <c r="G196" s="579" t="s">
        <v>1964</v>
      </c>
      <c r="H196" s="482">
        <v>1</v>
      </c>
      <c r="I196" s="580">
        <v>40544</v>
      </c>
      <c r="J196" s="580">
        <v>37681</v>
      </c>
      <c r="K196" s="581">
        <v>25415</v>
      </c>
      <c r="L196" s="581">
        <v>900.29</v>
      </c>
      <c r="M196" s="582"/>
      <c r="N196" s="582"/>
      <c r="O196" s="582"/>
      <c r="P196" s="582">
        <f t="shared" si="51"/>
        <v>25415</v>
      </c>
      <c r="Q196" s="582">
        <f t="shared" si="52"/>
        <v>900.29</v>
      </c>
      <c r="R196" s="583">
        <f t="shared" si="53"/>
        <v>0</v>
      </c>
      <c r="S196" s="584"/>
      <c r="T196" s="584"/>
      <c r="U196" s="585">
        <f t="shared" si="72"/>
        <v>0</v>
      </c>
      <c r="V196" s="586">
        <f t="shared" si="54"/>
        <v>-100</v>
      </c>
      <c r="W196" s="611" t="s">
        <v>2074</v>
      </c>
      <c r="X196" s="618">
        <f t="shared" si="71"/>
        <v>25415</v>
      </c>
      <c r="Y196" s="618"/>
      <c r="Z196" s="617">
        <v>0</v>
      </c>
      <c r="AA196" s="361">
        <f t="shared" si="55"/>
        <v>0</v>
      </c>
      <c r="AB196" s="597"/>
      <c r="AC196" s="485">
        <f t="shared" si="56"/>
        <v>0</v>
      </c>
      <c r="AD196" s="597"/>
      <c r="AE196" s="485">
        <f t="shared" si="57"/>
        <v>0</v>
      </c>
      <c r="AF196" s="508">
        <f t="shared" si="58"/>
        <v>0</v>
      </c>
      <c r="AG196" s="508">
        <f t="shared" si="59"/>
        <v>0</v>
      </c>
      <c r="AH196" s="508">
        <f t="shared" si="60"/>
        <v>0</v>
      </c>
      <c r="AI196" s="508">
        <f t="shared" si="61"/>
        <v>0</v>
      </c>
      <c r="AJ196" s="508">
        <f t="shared" si="62"/>
        <v>0</v>
      </c>
      <c r="AK196" s="508">
        <f t="shared" si="63"/>
        <v>0</v>
      </c>
      <c r="AL196" s="116">
        <v>10</v>
      </c>
      <c r="AM196" s="486">
        <f t="shared" si="64"/>
        <v>14.76</v>
      </c>
      <c r="AN196" s="117">
        <f t="shared" si="69"/>
        <v>-5</v>
      </c>
      <c r="AO196" s="487">
        <f t="shared" si="65"/>
        <v>-51</v>
      </c>
      <c r="AP196" s="610"/>
    </row>
    <row r="197" spans="1:42" ht="14.25" customHeight="1">
      <c r="A197" s="701">
        <v>191</v>
      </c>
      <c r="B197" s="477"/>
      <c r="C197" s="477" t="s">
        <v>1617</v>
      </c>
      <c r="D197" s="477" t="s">
        <v>1284</v>
      </c>
      <c r="E197" s="475" t="s">
        <v>1453</v>
      </c>
      <c r="F197" s="477"/>
      <c r="G197" s="482" t="s">
        <v>1943</v>
      </c>
      <c r="H197" s="482">
        <v>1</v>
      </c>
      <c r="I197" s="580">
        <v>40544</v>
      </c>
      <c r="J197" s="580">
        <v>37681</v>
      </c>
      <c r="K197" s="581">
        <v>10533.34</v>
      </c>
      <c r="L197" s="581">
        <v>900.28</v>
      </c>
      <c r="M197" s="582"/>
      <c r="N197" s="582"/>
      <c r="O197" s="582"/>
      <c r="P197" s="582">
        <f t="shared" si="51"/>
        <v>10533.34</v>
      </c>
      <c r="Q197" s="582">
        <f t="shared" si="52"/>
        <v>900.28</v>
      </c>
      <c r="R197" s="583">
        <f t="shared" si="53"/>
        <v>200</v>
      </c>
      <c r="S197" s="584"/>
      <c r="T197" s="584">
        <v>3</v>
      </c>
      <c r="U197" s="585">
        <f t="shared" si="72"/>
        <v>194</v>
      </c>
      <c r="V197" s="586">
        <f t="shared" si="54"/>
        <v>-78.45</v>
      </c>
      <c r="W197" s="611" t="s">
        <v>2074</v>
      </c>
      <c r="X197" s="618">
        <f t="shared" si="71"/>
        <v>10533.34</v>
      </c>
      <c r="Y197" s="618"/>
      <c r="Z197" s="617">
        <v>200</v>
      </c>
      <c r="AA197" s="361">
        <f t="shared" si="55"/>
        <v>170.94</v>
      </c>
      <c r="AB197" s="597"/>
      <c r="AC197" s="485">
        <f t="shared" si="56"/>
        <v>0</v>
      </c>
      <c r="AD197" s="597"/>
      <c r="AE197" s="485">
        <f t="shared" si="57"/>
        <v>0</v>
      </c>
      <c r="AF197" s="508">
        <f t="shared" si="58"/>
        <v>0</v>
      </c>
      <c r="AG197" s="508">
        <f t="shared" si="59"/>
        <v>0</v>
      </c>
      <c r="AH197" s="508">
        <f t="shared" si="60"/>
        <v>200</v>
      </c>
      <c r="AI197" s="508">
        <f t="shared" si="61"/>
        <v>0</v>
      </c>
      <c r="AJ197" s="508">
        <f t="shared" si="62"/>
        <v>29.06</v>
      </c>
      <c r="AK197" s="508">
        <f t="shared" si="63"/>
        <v>200</v>
      </c>
      <c r="AL197" s="116">
        <v>8</v>
      </c>
      <c r="AM197" s="486">
        <f t="shared" si="64"/>
        <v>14.76</v>
      </c>
      <c r="AN197" s="117">
        <f t="shared" si="69"/>
        <v>-7</v>
      </c>
      <c r="AO197" s="487">
        <f t="shared" si="65"/>
        <v>-90</v>
      </c>
      <c r="AP197" s="610"/>
    </row>
    <row r="198" spans="1:42" ht="14.25" customHeight="1">
      <c r="A198" s="701">
        <v>192</v>
      </c>
      <c r="B198" s="477"/>
      <c r="C198" s="477" t="s">
        <v>1617</v>
      </c>
      <c r="D198" s="477" t="s">
        <v>1284</v>
      </c>
      <c r="E198" s="475" t="s">
        <v>1453</v>
      </c>
      <c r="F198" s="477"/>
      <c r="G198" s="482" t="s">
        <v>1943</v>
      </c>
      <c r="H198" s="482">
        <v>1</v>
      </c>
      <c r="I198" s="580">
        <v>40544</v>
      </c>
      <c r="J198" s="580">
        <v>37681</v>
      </c>
      <c r="K198" s="581">
        <v>10533.33</v>
      </c>
      <c r="L198" s="581">
        <v>900.28</v>
      </c>
      <c r="M198" s="582"/>
      <c r="N198" s="582"/>
      <c r="O198" s="582"/>
      <c r="P198" s="582">
        <f t="shared" si="51"/>
        <v>10533.33</v>
      </c>
      <c r="Q198" s="582">
        <f t="shared" si="52"/>
        <v>900.28</v>
      </c>
      <c r="R198" s="583">
        <f t="shared" si="53"/>
        <v>200</v>
      </c>
      <c r="S198" s="584"/>
      <c r="T198" s="584">
        <v>3</v>
      </c>
      <c r="U198" s="585">
        <f t="shared" si="72"/>
        <v>194</v>
      </c>
      <c r="V198" s="586">
        <f t="shared" si="54"/>
        <v>-78.45</v>
      </c>
      <c r="W198" s="611" t="s">
        <v>2074</v>
      </c>
      <c r="X198" s="618">
        <f t="shared" si="71"/>
        <v>10533.33</v>
      </c>
      <c r="Y198" s="618"/>
      <c r="Z198" s="617">
        <v>200</v>
      </c>
      <c r="AA198" s="361">
        <f t="shared" si="55"/>
        <v>170.94</v>
      </c>
      <c r="AB198" s="597"/>
      <c r="AC198" s="485">
        <f t="shared" si="56"/>
        <v>0</v>
      </c>
      <c r="AD198" s="597"/>
      <c r="AE198" s="485">
        <f t="shared" si="57"/>
        <v>0</v>
      </c>
      <c r="AF198" s="508">
        <f t="shared" si="58"/>
        <v>0</v>
      </c>
      <c r="AG198" s="508">
        <f t="shared" si="59"/>
        <v>0</v>
      </c>
      <c r="AH198" s="508">
        <f t="shared" si="60"/>
        <v>200</v>
      </c>
      <c r="AI198" s="508">
        <f t="shared" si="61"/>
        <v>0</v>
      </c>
      <c r="AJ198" s="508">
        <f t="shared" si="62"/>
        <v>29.06</v>
      </c>
      <c r="AK198" s="508">
        <f t="shared" si="63"/>
        <v>200</v>
      </c>
      <c r="AL198" s="116">
        <v>8</v>
      </c>
      <c r="AM198" s="486">
        <f t="shared" si="64"/>
        <v>14.76</v>
      </c>
      <c r="AN198" s="117">
        <f t="shared" si="69"/>
        <v>-7</v>
      </c>
      <c r="AO198" s="487">
        <f t="shared" si="65"/>
        <v>-90</v>
      </c>
      <c r="AP198" s="610"/>
    </row>
    <row r="199" spans="1:42" ht="14.25" customHeight="1">
      <c r="A199" s="701">
        <v>193</v>
      </c>
      <c r="B199" s="477"/>
      <c r="C199" s="477" t="s">
        <v>1617</v>
      </c>
      <c r="D199" s="477" t="s">
        <v>1284</v>
      </c>
      <c r="E199" s="475" t="s">
        <v>1453</v>
      </c>
      <c r="F199" s="477"/>
      <c r="G199" s="482" t="s">
        <v>1943</v>
      </c>
      <c r="H199" s="482">
        <v>1</v>
      </c>
      <c r="I199" s="580">
        <v>40544</v>
      </c>
      <c r="J199" s="580">
        <v>37681</v>
      </c>
      <c r="K199" s="581">
        <v>10533.33</v>
      </c>
      <c r="L199" s="581">
        <v>1025.6400000000001</v>
      </c>
      <c r="M199" s="582"/>
      <c r="N199" s="582"/>
      <c r="O199" s="582"/>
      <c r="P199" s="582">
        <f t="shared" ref="P199:P262" si="73">K199+N199</f>
        <v>10533.33</v>
      </c>
      <c r="Q199" s="582">
        <f t="shared" ref="Q199:Q262" si="74">L199+O199</f>
        <v>1025.6400000000001</v>
      </c>
      <c r="R199" s="583">
        <f t="shared" ref="R199:R262" si="75">AK199</f>
        <v>200</v>
      </c>
      <c r="S199" s="584"/>
      <c r="T199" s="584">
        <v>3</v>
      </c>
      <c r="U199" s="585">
        <f t="shared" si="72"/>
        <v>194</v>
      </c>
      <c r="V199" s="586">
        <f t="shared" ref="V199:V262" si="76">IF(Q199=0,"",(U199-Q199)/Q199*100)</f>
        <v>-81.08</v>
      </c>
      <c r="W199" s="611" t="s">
        <v>2074</v>
      </c>
      <c r="X199" s="618">
        <f t="shared" si="71"/>
        <v>10533.33</v>
      </c>
      <c r="Y199" s="618"/>
      <c r="Z199" s="617">
        <v>200</v>
      </c>
      <c r="AA199" s="361">
        <f t="shared" ref="AA199:AA262" si="77">Z199/1.17</f>
        <v>170.94</v>
      </c>
      <c r="AB199" s="597"/>
      <c r="AC199" s="485">
        <f t="shared" ref="AC199:AC262" si="78">Z199*AB199</f>
        <v>0</v>
      </c>
      <c r="AD199" s="597"/>
      <c r="AE199" s="485">
        <f t="shared" ref="AE199:AE262" si="79">Z199*AD199</f>
        <v>0</v>
      </c>
      <c r="AF199" s="508">
        <f t="shared" ref="AF199:AF262" si="80">(Z199+AC199+AE199)*AF$4</f>
        <v>0</v>
      </c>
      <c r="AG199" s="508">
        <f t="shared" ref="AG199:AG262" si="81">(Z199+AC199+AE199)*AG$4</f>
        <v>0</v>
      </c>
      <c r="AH199" s="508">
        <f t="shared" ref="AH199:AH262" si="82">Z199+AC199+AE199+AF199</f>
        <v>200</v>
      </c>
      <c r="AI199" s="508">
        <f t="shared" ref="AI199:AI262" si="83">AH199*AI$3*AI$4/2</f>
        <v>0</v>
      </c>
      <c r="AJ199" s="508">
        <f t="shared" ref="AJ199:AJ262" si="84">Z199*0.17/1.17+AC199*0.11/1.11+AE199*0.11/1.11+AF199-AG199</f>
        <v>29.06</v>
      </c>
      <c r="AK199" s="508">
        <f t="shared" ref="AK199:AK262" si="85">ROUND((Z199+AC199+AE199+AF199+AI199-AJ199)*H199,-2)</f>
        <v>200</v>
      </c>
      <c r="AL199" s="116">
        <v>8</v>
      </c>
      <c r="AM199" s="486">
        <f t="shared" ref="AM199:AM262" si="86">(AM$4-J199)/365</f>
        <v>14.76</v>
      </c>
      <c r="AN199" s="117">
        <f t="shared" si="69"/>
        <v>-7</v>
      </c>
      <c r="AO199" s="487">
        <f t="shared" ref="AO199:AO262" si="87">AN199/(AM199+AN199)*100</f>
        <v>-90</v>
      </c>
      <c r="AP199" s="610"/>
    </row>
    <row r="200" spans="1:42" ht="14.25" customHeight="1">
      <c r="A200" s="701">
        <v>194</v>
      </c>
      <c r="B200" s="477"/>
      <c r="C200" s="477" t="s">
        <v>1614</v>
      </c>
      <c r="D200" s="477" t="s">
        <v>1284</v>
      </c>
      <c r="E200" s="475" t="s">
        <v>1453</v>
      </c>
      <c r="F200" s="477"/>
      <c r="G200" s="482" t="s">
        <v>1943</v>
      </c>
      <c r="H200" s="482">
        <v>1</v>
      </c>
      <c r="I200" s="580">
        <v>40544</v>
      </c>
      <c r="J200" s="580">
        <v>37681</v>
      </c>
      <c r="K200" s="581">
        <v>12000</v>
      </c>
      <c r="L200" s="581">
        <v>1025.6400000000001</v>
      </c>
      <c r="M200" s="582"/>
      <c r="N200" s="582"/>
      <c r="O200" s="582"/>
      <c r="P200" s="582">
        <f t="shared" si="73"/>
        <v>12000</v>
      </c>
      <c r="Q200" s="582">
        <f t="shared" si="74"/>
        <v>1025.6400000000001</v>
      </c>
      <c r="R200" s="583">
        <f t="shared" si="75"/>
        <v>200</v>
      </c>
      <c r="S200" s="584"/>
      <c r="T200" s="584">
        <v>3</v>
      </c>
      <c r="U200" s="585">
        <f t="shared" si="72"/>
        <v>194</v>
      </c>
      <c r="V200" s="586">
        <f t="shared" si="76"/>
        <v>-81.08</v>
      </c>
      <c r="W200" s="611" t="s">
        <v>2074</v>
      </c>
      <c r="X200" s="618">
        <f t="shared" si="71"/>
        <v>12000</v>
      </c>
      <c r="Y200" s="618"/>
      <c r="Z200" s="617">
        <v>200</v>
      </c>
      <c r="AA200" s="361">
        <f t="shared" si="77"/>
        <v>170.94</v>
      </c>
      <c r="AB200" s="597"/>
      <c r="AC200" s="485">
        <f t="shared" si="78"/>
        <v>0</v>
      </c>
      <c r="AD200" s="597"/>
      <c r="AE200" s="485">
        <f t="shared" si="79"/>
        <v>0</v>
      </c>
      <c r="AF200" s="508">
        <f t="shared" si="80"/>
        <v>0</v>
      </c>
      <c r="AG200" s="508">
        <f t="shared" si="81"/>
        <v>0</v>
      </c>
      <c r="AH200" s="508">
        <f t="shared" si="82"/>
        <v>200</v>
      </c>
      <c r="AI200" s="508">
        <f t="shared" si="83"/>
        <v>0</v>
      </c>
      <c r="AJ200" s="508">
        <f t="shared" si="84"/>
        <v>29.06</v>
      </c>
      <c r="AK200" s="508">
        <f t="shared" si="85"/>
        <v>200</v>
      </c>
      <c r="AL200" s="116">
        <v>8</v>
      </c>
      <c r="AM200" s="486">
        <f t="shared" si="86"/>
        <v>14.76</v>
      </c>
      <c r="AN200" s="117">
        <f t="shared" si="69"/>
        <v>-7</v>
      </c>
      <c r="AO200" s="487">
        <f t="shared" si="87"/>
        <v>-90</v>
      </c>
      <c r="AP200" s="610"/>
    </row>
    <row r="201" spans="1:42" ht="14.25" customHeight="1">
      <c r="A201" s="701">
        <v>195</v>
      </c>
      <c r="B201" s="477"/>
      <c r="C201" s="477" t="s">
        <v>1614</v>
      </c>
      <c r="D201" s="477" t="s">
        <v>1284</v>
      </c>
      <c r="E201" s="475" t="s">
        <v>1453</v>
      </c>
      <c r="F201" s="477"/>
      <c r="G201" s="482" t="s">
        <v>1943</v>
      </c>
      <c r="H201" s="482">
        <v>1</v>
      </c>
      <c r="I201" s="580">
        <v>40544</v>
      </c>
      <c r="J201" s="580">
        <v>37681</v>
      </c>
      <c r="K201" s="581">
        <v>12000</v>
      </c>
      <c r="L201" s="581">
        <v>3558.6</v>
      </c>
      <c r="M201" s="582"/>
      <c r="N201" s="582"/>
      <c r="O201" s="582"/>
      <c r="P201" s="582">
        <f t="shared" si="73"/>
        <v>12000</v>
      </c>
      <c r="Q201" s="582">
        <f t="shared" si="74"/>
        <v>3558.6</v>
      </c>
      <c r="R201" s="583">
        <f t="shared" si="75"/>
        <v>200</v>
      </c>
      <c r="S201" s="584"/>
      <c r="T201" s="584">
        <v>3</v>
      </c>
      <c r="U201" s="585">
        <f t="shared" si="72"/>
        <v>194</v>
      </c>
      <c r="V201" s="586">
        <f t="shared" si="76"/>
        <v>-94.55</v>
      </c>
      <c r="W201" s="611" t="s">
        <v>2074</v>
      </c>
      <c r="X201" s="618">
        <f t="shared" si="71"/>
        <v>12000</v>
      </c>
      <c r="Y201" s="618"/>
      <c r="Z201" s="617">
        <v>200</v>
      </c>
      <c r="AA201" s="361">
        <f t="shared" si="77"/>
        <v>170.94</v>
      </c>
      <c r="AB201" s="597"/>
      <c r="AC201" s="485">
        <f t="shared" si="78"/>
        <v>0</v>
      </c>
      <c r="AD201" s="597"/>
      <c r="AE201" s="485">
        <f t="shared" si="79"/>
        <v>0</v>
      </c>
      <c r="AF201" s="508">
        <f t="shared" si="80"/>
        <v>0</v>
      </c>
      <c r="AG201" s="508">
        <f t="shared" si="81"/>
        <v>0</v>
      </c>
      <c r="AH201" s="508">
        <f t="shared" si="82"/>
        <v>200</v>
      </c>
      <c r="AI201" s="508">
        <f t="shared" si="83"/>
        <v>0</v>
      </c>
      <c r="AJ201" s="508">
        <f t="shared" si="84"/>
        <v>29.06</v>
      </c>
      <c r="AK201" s="508">
        <f t="shared" si="85"/>
        <v>200</v>
      </c>
      <c r="AL201" s="116">
        <v>8</v>
      </c>
      <c r="AM201" s="486">
        <f t="shared" si="86"/>
        <v>14.76</v>
      </c>
      <c r="AN201" s="117">
        <f t="shared" si="69"/>
        <v>-7</v>
      </c>
      <c r="AO201" s="487">
        <f t="shared" si="87"/>
        <v>-90</v>
      </c>
      <c r="AP201" s="610"/>
    </row>
    <row r="202" spans="1:42" ht="14.25" customHeight="1">
      <c r="A202" s="701">
        <v>196</v>
      </c>
      <c r="B202" s="477"/>
      <c r="C202" s="477" t="s">
        <v>1612</v>
      </c>
      <c r="D202" s="477" t="s">
        <v>1285</v>
      </c>
      <c r="E202" s="475" t="s">
        <v>1453</v>
      </c>
      <c r="F202" s="477"/>
      <c r="G202" s="482" t="s">
        <v>1943</v>
      </c>
      <c r="H202" s="482">
        <v>1</v>
      </c>
      <c r="I202" s="580">
        <v>40544</v>
      </c>
      <c r="J202" s="580">
        <v>37681</v>
      </c>
      <c r="K202" s="581">
        <v>12000</v>
      </c>
      <c r="L202" s="581">
        <v>888.89</v>
      </c>
      <c r="M202" s="582"/>
      <c r="N202" s="582"/>
      <c r="O202" s="582"/>
      <c r="P202" s="582">
        <f t="shared" si="73"/>
        <v>12000</v>
      </c>
      <c r="Q202" s="582">
        <f t="shared" si="74"/>
        <v>888.89</v>
      </c>
      <c r="R202" s="583">
        <f t="shared" si="75"/>
        <v>200</v>
      </c>
      <c r="S202" s="584"/>
      <c r="T202" s="584">
        <v>3</v>
      </c>
      <c r="U202" s="585">
        <f t="shared" si="72"/>
        <v>194</v>
      </c>
      <c r="V202" s="586">
        <f t="shared" si="76"/>
        <v>-78.180000000000007</v>
      </c>
      <c r="W202" s="611" t="s">
        <v>2074</v>
      </c>
      <c r="X202" s="618">
        <f t="shared" si="71"/>
        <v>12000</v>
      </c>
      <c r="Y202" s="618"/>
      <c r="Z202" s="617">
        <v>200</v>
      </c>
      <c r="AA202" s="361">
        <f t="shared" si="77"/>
        <v>170.94</v>
      </c>
      <c r="AB202" s="597"/>
      <c r="AC202" s="485">
        <f t="shared" si="78"/>
        <v>0</v>
      </c>
      <c r="AD202" s="597"/>
      <c r="AE202" s="485">
        <f t="shared" si="79"/>
        <v>0</v>
      </c>
      <c r="AF202" s="508">
        <f t="shared" si="80"/>
        <v>0</v>
      </c>
      <c r="AG202" s="508">
        <f t="shared" si="81"/>
        <v>0</v>
      </c>
      <c r="AH202" s="508">
        <f t="shared" si="82"/>
        <v>200</v>
      </c>
      <c r="AI202" s="508">
        <f t="shared" si="83"/>
        <v>0</v>
      </c>
      <c r="AJ202" s="508">
        <f t="shared" si="84"/>
        <v>29.06</v>
      </c>
      <c r="AK202" s="508">
        <f t="shared" si="85"/>
        <v>200</v>
      </c>
      <c r="AL202" s="116">
        <v>8</v>
      </c>
      <c r="AM202" s="486">
        <f t="shared" si="86"/>
        <v>14.76</v>
      </c>
      <c r="AN202" s="117">
        <f t="shared" si="69"/>
        <v>-7</v>
      </c>
      <c r="AO202" s="487">
        <f t="shared" si="87"/>
        <v>-90</v>
      </c>
      <c r="AP202" s="610"/>
    </row>
    <row r="203" spans="1:42" ht="14.25" customHeight="1">
      <c r="A203" s="701">
        <v>197</v>
      </c>
      <c r="B203" s="477"/>
      <c r="C203" s="477" t="s">
        <v>1612</v>
      </c>
      <c r="D203" s="477" t="s">
        <v>1286</v>
      </c>
      <c r="E203" s="475" t="s">
        <v>1453</v>
      </c>
      <c r="F203" s="477"/>
      <c r="G203" s="482" t="s">
        <v>1943</v>
      </c>
      <c r="H203" s="482">
        <v>1</v>
      </c>
      <c r="I203" s="580">
        <v>40544</v>
      </c>
      <c r="J203" s="580">
        <v>37681</v>
      </c>
      <c r="K203" s="581">
        <v>10400</v>
      </c>
      <c r="L203" s="581">
        <v>273.5</v>
      </c>
      <c r="M203" s="582"/>
      <c r="N203" s="582"/>
      <c r="O203" s="582"/>
      <c r="P203" s="582">
        <f t="shared" si="73"/>
        <v>10400</v>
      </c>
      <c r="Q203" s="582">
        <f t="shared" si="74"/>
        <v>273.5</v>
      </c>
      <c r="R203" s="583">
        <f t="shared" si="75"/>
        <v>200</v>
      </c>
      <c r="S203" s="584"/>
      <c r="T203" s="584">
        <v>3</v>
      </c>
      <c r="U203" s="585">
        <f t="shared" si="72"/>
        <v>194</v>
      </c>
      <c r="V203" s="586">
        <f t="shared" si="76"/>
        <v>-29.07</v>
      </c>
      <c r="W203" s="611" t="s">
        <v>2074</v>
      </c>
      <c r="X203" s="618">
        <f t="shared" si="71"/>
        <v>10400</v>
      </c>
      <c r="Y203" s="618"/>
      <c r="Z203" s="617">
        <v>200</v>
      </c>
      <c r="AA203" s="361">
        <f t="shared" si="77"/>
        <v>170.94</v>
      </c>
      <c r="AB203" s="597"/>
      <c r="AC203" s="485">
        <f t="shared" si="78"/>
        <v>0</v>
      </c>
      <c r="AD203" s="597"/>
      <c r="AE203" s="485">
        <f t="shared" si="79"/>
        <v>0</v>
      </c>
      <c r="AF203" s="508">
        <f t="shared" si="80"/>
        <v>0</v>
      </c>
      <c r="AG203" s="508">
        <f t="shared" si="81"/>
        <v>0</v>
      </c>
      <c r="AH203" s="508">
        <f t="shared" si="82"/>
        <v>200</v>
      </c>
      <c r="AI203" s="508">
        <f t="shared" si="83"/>
        <v>0</v>
      </c>
      <c r="AJ203" s="508">
        <f t="shared" si="84"/>
        <v>29.06</v>
      </c>
      <c r="AK203" s="508">
        <f t="shared" si="85"/>
        <v>200</v>
      </c>
      <c r="AL203" s="116">
        <v>8</v>
      </c>
      <c r="AM203" s="486">
        <f t="shared" si="86"/>
        <v>14.76</v>
      </c>
      <c r="AN203" s="117">
        <f t="shared" si="69"/>
        <v>-7</v>
      </c>
      <c r="AO203" s="487">
        <f t="shared" si="87"/>
        <v>-90</v>
      </c>
      <c r="AP203" s="610"/>
    </row>
    <row r="204" spans="1:42" ht="14.25" customHeight="1">
      <c r="A204" s="701">
        <v>198</v>
      </c>
      <c r="B204" s="477"/>
      <c r="C204" s="477" t="s">
        <v>1493</v>
      </c>
      <c r="D204" s="477" t="s">
        <v>1287</v>
      </c>
      <c r="E204" s="475" t="s">
        <v>1453</v>
      </c>
      <c r="F204" s="477"/>
      <c r="G204" s="482" t="s">
        <v>1943</v>
      </c>
      <c r="H204" s="482">
        <v>1</v>
      </c>
      <c r="I204" s="580">
        <v>40544</v>
      </c>
      <c r="J204" s="580">
        <v>37681</v>
      </c>
      <c r="K204" s="581">
        <v>3200</v>
      </c>
      <c r="L204" s="581">
        <v>0</v>
      </c>
      <c r="M204" s="582"/>
      <c r="N204" s="582"/>
      <c r="O204" s="582"/>
      <c r="P204" s="582">
        <f t="shared" si="73"/>
        <v>3200</v>
      </c>
      <c r="Q204" s="582">
        <f t="shared" si="74"/>
        <v>0</v>
      </c>
      <c r="R204" s="583">
        <f t="shared" si="75"/>
        <v>100</v>
      </c>
      <c r="S204" s="584"/>
      <c r="T204" s="584">
        <v>3</v>
      </c>
      <c r="U204" s="585">
        <f t="shared" si="72"/>
        <v>97</v>
      </c>
      <c r="V204" s="586" t="str">
        <f t="shared" si="76"/>
        <v/>
      </c>
      <c r="W204" s="611" t="s">
        <v>2074</v>
      </c>
      <c r="X204" s="618">
        <f t="shared" si="71"/>
        <v>3200</v>
      </c>
      <c r="Y204" s="618"/>
      <c r="Z204" s="617">
        <v>100</v>
      </c>
      <c r="AA204" s="361">
        <f t="shared" si="77"/>
        <v>85.47</v>
      </c>
      <c r="AB204" s="597"/>
      <c r="AC204" s="485">
        <f t="shared" si="78"/>
        <v>0</v>
      </c>
      <c r="AD204" s="597"/>
      <c r="AE204" s="485">
        <f t="shared" si="79"/>
        <v>0</v>
      </c>
      <c r="AF204" s="508">
        <f t="shared" si="80"/>
        <v>0</v>
      </c>
      <c r="AG204" s="508">
        <f t="shared" si="81"/>
        <v>0</v>
      </c>
      <c r="AH204" s="508">
        <f t="shared" si="82"/>
        <v>100</v>
      </c>
      <c r="AI204" s="508">
        <f t="shared" si="83"/>
        <v>0</v>
      </c>
      <c r="AJ204" s="508">
        <f t="shared" si="84"/>
        <v>14.53</v>
      </c>
      <c r="AK204" s="508">
        <f t="shared" si="85"/>
        <v>100</v>
      </c>
      <c r="AL204" s="116">
        <v>8</v>
      </c>
      <c r="AM204" s="486">
        <f t="shared" si="86"/>
        <v>14.76</v>
      </c>
      <c r="AN204" s="117">
        <f t="shared" si="69"/>
        <v>-7</v>
      </c>
      <c r="AO204" s="487">
        <f t="shared" si="87"/>
        <v>-90</v>
      </c>
      <c r="AP204" s="610"/>
    </row>
    <row r="205" spans="1:42" ht="14.25" customHeight="1">
      <c r="A205" s="701">
        <v>199</v>
      </c>
      <c r="B205" s="477"/>
      <c r="C205" s="477" t="s">
        <v>1549</v>
      </c>
      <c r="D205" s="477" t="s">
        <v>1288</v>
      </c>
      <c r="E205" s="475" t="s">
        <v>1453</v>
      </c>
      <c r="F205" s="477"/>
      <c r="G205" s="579" t="s">
        <v>1965</v>
      </c>
      <c r="H205" s="482">
        <v>1</v>
      </c>
      <c r="I205" s="580">
        <v>40544</v>
      </c>
      <c r="J205" s="580">
        <v>37681</v>
      </c>
      <c r="K205" s="581">
        <v>200000</v>
      </c>
      <c r="L205" s="581">
        <v>9487.18</v>
      </c>
      <c r="M205" s="582"/>
      <c r="N205" s="582"/>
      <c r="O205" s="582"/>
      <c r="P205" s="582">
        <f t="shared" si="73"/>
        <v>200000</v>
      </c>
      <c r="Q205" s="582">
        <f t="shared" si="74"/>
        <v>9487.18</v>
      </c>
      <c r="R205" s="583">
        <f t="shared" si="75"/>
        <v>5600</v>
      </c>
      <c r="S205" s="584"/>
      <c r="T205" s="584">
        <v>5</v>
      </c>
      <c r="U205" s="585">
        <f t="shared" si="72"/>
        <v>5320</v>
      </c>
      <c r="V205" s="586">
        <f t="shared" si="76"/>
        <v>-43.92</v>
      </c>
      <c r="W205" s="611" t="s">
        <v>2074</v>
      </c>
      <c r="X205" s="618">
        <f t="shared" si="71"/>
        <v>200000</v>
      </c>
      <c r="Y205" s="618">
        <v>5</v>
      </c>
      <c r="Z205" s="617">
        <f>Z$4*Y205</f>
        <v>6500</v>
      </c>
      <c r="AA205" s="361">
        <f t="shared" si="77"/>
        <v>5555.56</v>
      </c>
      <c r="AB205" s="597"/>
      <c r="AC205" s="485">
        <f t="shared" si="78"/>
        <v>0</v>
      </c>
      <c r="AD205" s="597"/>
      <c r="AE205" s="485">
        <f t="shared" si="79"/>
        <v>0</v>
      </c>
      <c r="AF205" s="508">
        <f t="shared" si="80"/>
        <v>0</v>
      </c>
      <c r="AG205" s="508">
        <f t="shared" si="81"/>
        <v>0</v>
      </c>
      <c r="AH205" s="508">
        <f t="shared" si="82"/>
        <v>6500</v>
      </c>
      <c r="AI205" s="508">
        <f t="shared" si="83"/>
        <v>0</v>
      </c>
      <c r="AJ205" s="508">
        <f t="shared" si="84"/>
        <v>944.44</v>
      </c>
      <c r="AK205" s="508">
        <f t="shared" si="85"/>
        <v>5600</v>
      </c>
      <c r="AL205" s="116">
        <v>12</v>
      </c>
      <c r="AM205" s="486">
        <f t="shared" si="86"/>
        <v>14.76</v>
      </c>
      <c r="AN205" s="117">
        <f t="shared" si="69"/>
        <v>-3</v>
      </c>
      <c r="AO205" s="487">
        <f t="shared" si="87"/>
        <v>-26</v>
      </c>
      <c r="AP205" s="610"/>
    </row>
    <row r="206" spans="1:42" ht="14.25" customHeight="1">
      <c r="A206" s="701">
        <v>200</v>
      </c>
      <c r="B206" s="477"/>
      <c r="C206" s="477" t="s">
        <v>1613</v>
      </c>
      <c r="D206" s="477" t="s">
        <v>1289</v>
      </c>
      <c r="E206" s="475" t="s">
        <v>1453</v>
      </c>
      <c r="F206" s="611" t="s">
        <v>2066</v>
      </c>
      <c r="G206" s="482" t="s">
        <v>1943</v>
      </c>
      <c r="H206" s="482">
        <v>1</v>
      </c>
      <c r="I206" s="580">
        <v>40544</v>
      </c>
      <c r="J206" s="580">
        <v>37681</v>
      </c>
      <c r="K206" s="581">
        <v>111000</v>
      </c>
      <c r="L206" s="581">
        <v>6013.68</v>
      </c>
      <c r="M206" s="582"/>
      <c r="N206" s="582"/>
      <c r="O206" s="582"/>
      <c r="P206" s="582">
        <f t="shared" si="73"/>
        <v>111000</v>
      </c>
      <c r="Q206" s="582">
        <f t="shared" si="74"/>
        <v>6013.68</v>
      </c>
      <c r="R206" s="583">
        <f t="shared" si="75"/>
        <v>300</v>
      </c>
      <c r="S206" s="584"/>
      <c r="T206" s="584">
        <v>3</v>
      </c>
      <c r="U206" s="585">
        <f t="shared" si="72"/>
        <v>291</v>
      </c>
      <c r="V206" s="586">
        <f t="shared" si="76"/>
        <v>-95.16</v>
      </c>
      <c r="W206" s="611" t="s">
        <v>2074</v>
      </c>
      <c r="X206" s="618">
        <f t="shared" si="71"/>
        <v>111000</v>
      </c>
      <c r="Y206" s="618"/>
      <c r="Z206" s="617">
        <v>400</v>
      </c>
      <c r="AA206" s="361">
        <f t="shared" si="77"/>
        <v>341.88</v>
      </c>
      <c r="AB206" s="597"/>
      <c r="AC206" s="485">
        <f t="shared" si="78"/>
        <v>0</v>
      </c>
      <c r="AD206" s="597"/>
      <c r="AE206" s="485">
        <f t="shared" si="79"/>
        <v>0</v>
      </c>
      <c r="AF206" s="508">
        <f t="shared" si="80"/>
        <v>0</v>
      </c>
      <c r="AG206" s="508">
        <f t="shared" si="81"/>
        <v>0</v>
      </c>
      <c r="AH206" s="508">
        <f t="shared" si="82"/>
        <v>400</v>
      </c>
      <c r="AI206" s="508">
        <f t="shared" si="83"/>
        <v>0</v>
      </c>
      <c r="AJ206" s="508">
        <f t="shared" si="84"/>
        <v>58.12</v>
      </c>
      <c r="AK206" s="508">
        <f t="shared" si="85"/>
        <v>300</v>
      </c>
      <c r="AL206" s="116">
        <v>14</v>
      </c>
      <c r="AM206" s="486">
        <f t="shared" si="86"/>
        <v>14.76</v>
      </c>
      <c r="AN206" s="117">
        <f t="shared" si="69"/>
        <v>-1</v>
      </c>
      <c r="AO206" s="487">
        <f t="shared" si="87"/>
        <v>-7</v>
      </c>
      <c r="AP206" s="610"/>
    </row>
    <row r="207" spans="1:42" ht="14.25" customHeight="1">
      <c r="A207" s="701">
        <v>201</v>
      </c>
      <c r="B207" s="477"/>
      <c r="C207" s="477" t="s">
        <v>1492</v>
      </c>
      <c r="D207" s="477" t="s">
        <v>1290</v>
      </c>
      <c r="E207" s="475" t="s">
        <v>1453</v>
      </c>
      <c r="F207" s="611" t="s">
        <v>2066</v>
      </c>
      <c r="G207" s="579" t="s">
        <v>1965</v>
      </c>
      <c r="H207" s="482">
        <v>1</v>
      </c>
      <c r="I207" s="580">
        <v>40544</v>
      </c>
      <c r="J207" s="580">
        <v>37681</v>
      </c>
      <c r="K207" s="581">
        <v>70360</v>
      </c>
      <c r="L207" s="581">
        <v>42.74</v>
      </c>
      <c r="M207" s="582"/>
      <c r="N207" s="582"/>
      <c r="O207" s="582"/>
      <c r="P207" s="582">
        <f t="shared" si="73"/>
        <v>70360</v>
      </c>
      <c r="Q207" s="582">
        <f t="shared" si="74"/>
        <v>42.74</v>
      </c>
      <c r="R207" s="583">
        <f t="shared" si="75"/>
        <v>400</v>
      </c>
      <c r="S207" s="584"/>
      <c r="T207" s="584">
        <v>3</v>
      </c>
      <c r="U207" s="585">
        <f t="shared" si="72"/>
        <v>388</v>
      </c>
      <c r="V207" s="586">
        <f t="shared" si="76"/>
        <v>807.81</v>
      </c>
      <c r="W207" s="611" t="s">
        <v>2074</v>
      </c>
      <c r="X207" s="618">
        <f t="shared" si="71"/>
        <v>70360</v>
      </c>
      <c r="Y207" s="618"/>
      <c r="Z207" s="617">
        <v>500</v>
      </c>
      <c r="AA207" s="361">
        <f t="shared" si="77"/>
        <v>427.35</v>
      </c>
      <c r="AB207" s="597"/>
      <c r="AC207" s="485">
        <f t="shared" si="78"/>
        <v>0</v>
      </c>
      <c r="AD207" s="597"/>
      <c r="AE207" s="485">
        <f t="shared" si="79"/>
        <v>0</v>
      </c>
      <c r="AF207" s="508">
        <f t="shared" si="80"/>
        <v>0</v>
      </c>
      <c r="AG207" s="508">
        <f t="shared" si="81"/>
        <v>0</v>
      </c>
      <c r="AH207" s="508">
        <f t="shared" si="82"/>
        <v>500</v>
      </c>
      <c r="AI207" s="508">
        <f t="shared" si="83"/>
        <v>0</v>
      </c>
      <c r="AJ207" s="508">
        <f t="shared" si="84"/>
        <v>72.650000000000006</v>
      </c>
      <c r="AK207" s="508">
        <f t="shared" si="85"/>
        <v>400</v>
      </c>
      <c r="AL207" s="116">
        <v>12</v>
      </c>
      <c r="AM207" s="486">
        <f t="shared" si="86"/>
        <v>14.76</v>
      </c>
      <c r="AN207" s="117">
        <f t="shared" si="69"/>
        <v>-3</v>
      </c>
      <c r="AO207" s="487">
        <f t="shared" si="87"/>
        <v>-26</v>
      </c>
      <c r="AP207" s="610"/>
    </row>
    <row r="208" spans="1:42" ht="14.25" customHeight="1">
      <c r="A208" s="701">
        <v>202</v>
      </c>
      <c r="B208" s="477"/>
      <c r="C208" s="477" t="s">
        <v>1511</v>
      </c>
      <c r="D208" s="477" t="s">
        <v>1291</v>
      </c>
      <c r="E208" s="475" t="s">
        <v>1453</v>
      </c>
      <c r="F208" s="477"/>
      <c r="G208" s="482" t="s">
        <v>1943</v>
      </c>
      <c r="H208" s="482">
        <v>1</v>
      </c>
      <c r="I208" s="580">
        <v>40544</v>
      </c>
      <c r="J208" s="580">
        <v>37681</v>
      </c>
      <c r="K208" s="581">
        <v>2880</v>
      </c>
      <c r="L208" s="581">
        <v>0</v>
      </c>
      <c r="M208" s="582"/>
      <c r="N208" s="582"/>
      <c r="O208" s="582"/>
      <c r="P208" s="582">
        <f t="shared" si="73"/>
        <v>2880</v>
      </c>
      <c r="Q208" s="582">
        <f t="shared" si="74"/>
        <v>0</v>
      </c>
      <c r="R208" s="583">
        <f t="shared" si="75"/>
        <v>100</v>
      </c>
      <c r="S208" s="584"/>
      <c r="T208" s="584">
        <v>3</v>
      </c>
      <c r="U208" s="585">
        <f t="shared" si="72"/>
        <v>97</v>
      </c>
      <c r="V208" s="586" t="str">
        <f t="shared" si="76"/>
        <v/>
      </c>
      <c r="W208" s="611" t="s">
        <v>2074</v>
      </c>
      <c r="X208" s="618">
        <f t="shared" ref="X208:X239" si="88">P208/H208</f>
        <v>2880</v>
      </c>
      <c r="Y208" s="618"/>
      <c r="Z208" s="617">
        <v>100</v>
      </c>
      <c r="AA208" s="361">
        <f t="shared" si="77"/>
        <v>85.47</v>
      </c>
      <c r="AB208" s="597"/>
      <c r="AC208" s="485">
        <f t="shared" si="78"/>
        <v>0</v>
      </c>
      <c r="AD208" s="597"/>
      <c r="AE208" s="485">
        <f t="shared" si="79"/>
        <v>0</v>
      </c>
      <c r="AF208" s="508">
        <f t="shared" si="80"/>
        <v>0</v>
      </c>
      <c r="AG208" s="508">
        <f t="shared" si="81"/>
        <v>0</v>
      </c>
      <c r="AH208" s="508">
        <f t="shared" si="82"/>
        <v>100</v>
      </c>
      <c r="AI208" s="508">
        <f t="shared" si="83"/>
        <v>0</v>
      </c>
      <c r="AJ208" s="508">
        <f t="shared" si="84"/>
        <v>14.53</v>
      </c>
      <c r="AK208" s="508">
        <f t="shared" si="85"/>
        <v>100</v>
      </c>
      <c r="AL208" s="116">
        <v>8</v>
      </c>
      <c r="AM208" s="486">
        <f t="shared" si="86"/>
        <v>14.76</v>
      </c>
      <c r="AN208" s="117">
        <f t="shared" si="69"/>
        <v>-7</v>
      </c>
      <c r="AO208" s="487">
        <f t="shared" si="87"/>
        <v>-90</v>
      </c>
      <c r="AP208" s="610"/>
    </row>
    <row r="209" spans="1:42" ht="14.25" customHeight="1">
      <c r="A209" s="701">
        <v>203</v>
      </c>
      <c r="B209" s="477"/>
      <c r="C209" s="477" t="s">
        <v>1488</v>
      </c>
      <c r="D209" s="477" t="s">
        <v>1292</v>
      </c>
      <c r="E209" s="475" t="s">
        <v>1453</v>
      </c>
      <c r="F209" s="611" t="s">
        <v>2027</v>
      </c>
      <c r="G209" s="482" t="s">
        <v>1943</v>
      </c>
      <c r="H209" s="482">
        <v>1</v>
      </c>
      <c r="I209" s="580">
        <v>40544</v>
      </c>
      <c r="J209" s="580">
        <v>37681</v>
      </c>
      <c r="K209" s="625">
        <v>128820</v>
      </c>
      <c r="L209" s="581">
        <v>5128.21</v>
      </c>
      <c r="M209" s="582"/>
      <c r="N209" s="582"/>
      <c r="O209" s="582"/>
      <c r="P209" s="582">
        <f t="shared" si="73"/>
        <v>128820</v>
      </c>
      <c r="Q209" s="582">
        <f t="shared" si="74"/>
        <v>5128.21</v>
      </c>
      <c r="R209" s="583">
        <f t="shared" si="75"/>
        <v>98300</v>
      </c>
      <c r="S209" s="668">
        <f>AP209</f>
        <v>15</v>
      </c>
      <c r="T209" s="584">
        <v>3</v>
      </c>
      <c r="U209" s="585">
        <f>IF(S209="",R209,ROUND(R209*(S209-T209)/100,0))</f>
        <v>11796</v>
      </c>
      <c r="V209" s="586">
        <f t="shared" si="76"/>
        <v>130.02000000000001</v>
      </c>
      <c r="W209" s="477"/>
      <c r="X209" s="618">
        <f t="shared" si="88"/>
        <v>128820</v>
      </c>
      <c r="Y209" s="618"/>
      <c r="Z209" s="489">
        <v>115000</v>
      </c>
      <c r="AA209" s="361">
        <f t="shared" si="77"/>
        <v>98290.6</v>
      </c>
      <c r="AB209" s="597"/>
      <c r="AC209" s="485">
        <f t="shared" si="78"/>
        <v>0</v>
      </c>
      <c r="AD209" s="597"/>
      <c r="AE209" s="485">
        <f t="shared" si="79"/>
        <v>0</v>
      </c>
      <c r="AF209" s="508">
        <f t="shared" si="80"/>
        <v>0</v>
      </c>
      <c r="AG209" s="508">
        <f t="shared" si="81"/>
        <v>0</v>
      </c>
      <c r="AH209" s="508">
        <f t="shared" si="82"/>
        <v>115000</v>
      </c>
      <c r="AI209" s="508">
        <f t="shared" si="83"/>
        <v>0</v>
      </c>
      <c r="AJ209" s="508">
        <f t="shared" si="84"/>
        <v>16709.400000000001</v>
      </c>
      <c r="AK209" s="508">
        <f t="shared" si="85"/>
        <v>98300</v>
      </c>
      <c r="AL209" s="116">
        <v>16</v>
      </c>
      <c r="AM209" s="486">
        <f t="shared" si="86"/>
        <v>14.76</v>
      </c>
      <c r="AN209" s="632">
        <v>2</v>
      </c>
      <c r="AO209" s="487">
        <f t="shared" si="87"/>
        <v>12</v>
      </c>
      <c r="AP209" s="669">
        <v>15</v>
      </c>
    </row>
    <row r="210" spans="1:42" ht="14.25" customHeight="1">
      <c r="A210" s="701">
        <v>204</v>
      </c>
      <c r="B210" s="477"/>
      <c r="C210" s="477" t="s">
        <v>1488</v>
      </c>
      <c r="D210" s="477" t="s">
        <v>1293</v>
      </c>
      <c r="E210" s="475" t="s">
        <v>1453</v>
      </c>
      <c r="F210" s="611" t="s">
        <v>2027</v>
      </c>
      <c r="G210" s="482" t="s">
        <v>1943</v>
      </c>
      <c r="H210" s="482">
        <v>1</v>
      </c>
      <c r="I210" s="580">
        <v>40544</v>
      </c>
      <c r="J210" s="580">
        <v>37681</v>
      </c>
      <c r="K210" s="581">
        <v>87600</v>
      </c>
      <c r="L210" s="581">
        <v>4102.5600000000004</v>
      </c>
      <c r="M210" s="582"/>
      <c r="N210" s="582"/>
      <c r="O210" s="582"/>
      <c r="P210" s="582">
        <f t="shared" si="73"/>
        <v>87600</v>
      </c>
      <c r="Q210" s="582">
        <f t="shared" si="74"/>
        <v>4102.5600000000004</v>
      </c>
      <c r="R210" s="583">
        <f t="shared" si="75"/>
        <v>81200</v>
      </c>
      <c r="S210" s="668">
        <f>AP210</f>
        <v>15</v>
      </c>
      <c r="T210" s="584">
        <v>3</v>
      </c>
      <c r="U210" s="585">
        <f>IF(S210="",R210,ROUND(R210*(S210-T210)/100,0))</f>
        <v>9744</v>
      </c>
      <c r="V210" s="586">
        <f t="shared" si="76"/>
        <v>137.51</v>
      </c>
      <c r="W210" s="477"/>
      <c r="X210" s="618">
        <f t="shared" si="88"/>
        <v>87600</v>
      </c>
      <c r="Y210" s="618"/>
      <c r="Z210" s="489">
        <v>95000</v>
      </c>
      <c r="AA210" s="361">
        <f t="shared" si="77"/>
        <v>81196.58</v>
      </c>
      <c r="AB210" s="597"/>
      <c r="AC210" s="485">
        <f t="shared" si="78"/>
        <v>0</v>
      </c>
      <c r="AD210" s="597"/>
      <c r="AE210" s="485">
        <f t="shared" si="79"/>
        <v>0</v>
      </c>
      <c r="AF210" s="508">
        <f t="shared" si="80"/>
        <v>0</v>
      </c>
      <c r="AG210" s="508">
        <f t="shared" si="81"/>
        <v>0</v>
      </c>
      <c r="AH210" s="508">
        <f t="shared" si="82"/>
        <v>95000</v>
      </c>
      <c r="AI210" s="508">
        <f t="shared" si="83"/>
        <v>0</v>
      </c>
      <c r="AJ210" s="508">
        <f t="shared" si="84"/>
        <v>13803.42</v>
      </c>
      <c r="AK210" s="508">
        <f t="shared" si="85"/>
        <v>81200</v>
      </c>
      <c r="AL210" s="116">
        <v>16</v>
      </c>
      <c r="AM210" s="486">
        <f t="shared" si="86"/>
        <v>14.76</v>
      </c>
      <c r="AN210" s="632">
        <v>2</v>
      </c>
      <c r="AO210" s="487">
        <f t="shared" si="87"/>
        <v>12</v>
      </c>
      <c r="AP210" s="669">
        <v>15</v>
      </c>
    </row>
    <row r="211" spans="1:42" ht="14.25" customHeight="1">
      <c r="A211" s="701">
        <v>205</v>
      </c>
      <c r="B211" s="477"/>
      <c r="C211" s="477" t="s">
        <v>1488</v>
      </c>
      <c r="D211" s="477" t="s">
        <v>1293</v>
      </c>
      <c r="E211" s="475" t="s">
        <v>1453</v>
      </c>
      <c r="F211" s="611" t="s">
        <v>2027</v>
      </c>
      <c r="G211" s="482" t="s">
        <v>1943</v>
      </c>
      <c r="H211" s="482">
        <v>1</v>
      </c>
      <c r="I211" s="580">
        <v>40544</v>
      </c>
      <c r="J211" s="580">
        <v>37681</v>
      </c>
      <c r="K211" s="581">
        <v>87600</v>
      </c>
      <c r="L211" s="581">
        <v>854.7</v>
      </c>
      <c r="M211" s="582"/>
      <c r="N211" s="582"/>
      <c r="O211" s="582"/>
      <c r="P211" s="582">
        <f t="shared" si="73"/>
        <v>87600</v>
      </c>
      <c r="Q211" s="582">
        <f t="shared" si="74"/>
        <v>854.7</v>
      </c>
      <c r="R211" s="583">
        <f t="shared" si="75"/>
        <v>81200</v>
      </c>
      <c r="S211" s="668">
        <f>AP211</f>
        <v>15</v>
      </c>
      <c r="T211" s="584">
        <v>3</v>
      </c>
      <c r="U211" s="585">
        <f>IF(S211="",R211,ROUND(R211*(S211-T211)/100,0))</f>
        <v>9744</v>
      </c>
      <c r="V211" s="586">
        <f t="shared" si="76"/>
        <v>1040.05</v>
      </c>
      <c r="W211" s="477"/>
      <c r="X211" s="618">
        <f t="shared" si="88"/>
        <v>87600</v>
      </c>
      <c r="Y211" s="618"/>
      <c r="Z211" s="489">
        <v>95000</v>
      </c>
      <c r="AA211" s="361">
        <f t="shared" si="77"/>
        <v>81196.58</v>
      </c>
      <c r="AB211" s="597"/>
      <c r="AC211" s="485">
        <f t="shared" si="78"/>
        <v>0</v>
      </c>
      <c r="AD211" s="597"/>
      <c r="AE211" s="485">
        <f t="shared" si="79"/>
        <v>0</v>
      </c>
      <c r="AF211" s="508">
        <f t="shared" si="80"/>
        <v>0</v>
      </c>
      <c r="AG211" s="508">
        <f t="shared" si="81"/>
        <v>0</v>
      </c>
      <c r="AH211" s="508">
        <f t="shared" si="82"/>
        <v>95000</v>
      </c>
      <c r="AI211" s="508">
        <f t="shared" si="83"/>
        <v>0</v>
      </c>
      <c r="AJ211" s="508">
        <f t="shared" si="84"/>
        <v>13803.42</v>
      </c>
      <c r="AK211" s="508">
        <f t="shared" si="85"/>
        <v>81200</v>
      </c>
      <c r="AL211" s="116">
        <v>16</v>
      </c>
      <c r="AM211" s="486">
        <f t="shared" si="86"/>
        <v>14.76</v>
      </c>
      <c r="AN211" s="632">
        <v>2</v>
      </c>
      <c r="AO211" s="487">
        <f t="shared" si="87"/>
        <v>12</v>
      </c>
      <c r="AP211" s="669">
        <v>15</v>
      </c>
    </row>
    <row r="212" spans="1:42" ht="14.25" customHeight="1">
      <c r="A212" s="701">
        <v>206</v>
      </c>
      <c r="B212" s="477"/>
      <c r="C212" s="611" t="s">
        <v>1826</v>
      </c>
      <c r="D212" s="477" t="s">
        <v>1294</v>
      </c>
      <c r="E212" s="475" t="s">
        <v>1453</v>
      </c>
      <c r="F212" s="611" t="s">
        <v>2041</v>
      </c>
      <c r="G212" s="579" t="s">
        <v>1923</v>
      </c>
      <c r="H212" s="482">
        <v>1</v>
      </c>
      <c r="I212" s="580">
        <v>40544</v>
      </c>
      <c r="J212" s="580">
        <v>37681</v>
      </c>
      <c r="K212" s="581">
        <v>35560</v>
      </c>
      <c r="L212" s="581">
        <v>854.7</v>
      </c>
      <c r="M212" s="582"/>
      <c r="N212" s="582"/>
      <c r="O212" s="582"/>
      <c r="P212" s="582">
        <f t="shared" si="73"/>
        <v>35560</v>
      </c>
      <c r="Q212" s="582">
        <f t="shared" si="74"/>
        <v>854.7</v>
      </c>
      <c r="R212" s="583">
        <f t="shared" si="75"/>
        <v>200</v>
      </c>
      <c r="S212" s="584"/>
      <c r="T212" s="584"/>
      <c r="U212" s="585">
        <f t="shared" ref="U212:U225" si="89">IF(S212="",R212,ROUND(R212*S212/100,0))</f>
        <v>200</v>
      </c>
      <c r="V212" s="586">
        <f t="shared" si="76"/>
        <v>-76.599999999999994</v>
      </c>
      <c r="W212" s="477"/>
      <c r="X212" s="618">
        <f t="shared" si="88"/>
        <v>35560</v>
      </c>
      <c r="Y212" s="618"/>
      <c r="Z212" s="617">
        <v>200</v>
      </c>
      <c r="AA212" s="361">
        <f t="shared" si="77"/>
        <v>170.94</v>
      </c>
      <c r="AB212" s="597"/>
      <c r="AC212" s="485">
        <f t="shared" si="78"/>
        <v>0</v>
      </c>
      <c r="AD212" s="597"/>
      <c r="AE212" s="485">
        <f t="shared" si="79"/>
        <v>0</v>
      </c>
      <c r="AF212" s="508">
        <f t="shared" si="80"/>
        <v>0</v>
      </c>
      <c r="AG212" s="508">
        <f t="shared" si="81"/>
        <v>0</v>
      </c>
      <c r="AH212" s="508">
        <f t="shared" si="82"/>
        <v>200</v>
      </c>
      <c r="AI212" s="508">
        <f t="shared" si="83"/>
        <v>0</v>
      </c>
      <c r="AJ212" s="508">
        <f t="shared" si="84"/>
        <v>29.06</v>
      </c>
      <c r="AK212" s="508">
        <f t="shared" si="85"/>
        <v>200</v>
      </c>
      <c r="AL212" s="116">
        <v>15</v>
      </c>
      <c r="AM212" s="486">
        <f t="shared" si="86"/>
        <v>14.76</v>
      </c>
      <c r="AN212" s="117">
        <f t="shared" ref="AN212:AN249" si="90">ROUND((AL212-AM212),0)</f>
        <v>0</v>
      </c>
      <c r="AO212" s="487">
        <f t="shared" si="87"/>
        <v>0</v>
      </c>
      <c r="AP212" s="610"/>
    </row>
    <row r="213" spans="1:42" ht="14.25" customHeight="1">
      <c r="A213" s="701">
        <v>207</v>
      </c>
      <c r="B213" s="477"/>
      <c r="C213" s="611" t="s">
        <v>1826</v>
      </c>
      <c r="D213" s="477" t="s">
        <v>1295</v>
      </c>
      <c r="E213" s="475" t="s">
        <v>1453</v>
      </c>
      <c r="F213" s="611" t="s">
        <v>2041</v>
      </c>
      <c r="G213" s="579" t="s">
        <v>1923</v>
      </c>
      <c r="H213" s="482">
        <v>1</v>
      </c>
      <c r="I213" s="580">
        <v>40544</v>
      </c>
      <c r="J213" s="580">
        <v>37681</v>
      </c>
      <c r="K213" s="581">
        <v>58600</v>
      </c>
      <c r="L213" s="581">
        <v>854.7</v>
      </c>
      <c r="M213" s="582"/>
      <c r="N213" s="582"/>
      <c r="O213" s="582"/>
      <c r="P213" s="582">
        <f t="shared" si="73"/>
        <v>58600</v>
      </c>
      <c r="Q213" s="582">
        <f t="shared" si="74"/>
        <v>854.7</v>
      </c>
      <c r="R213" s="583">
        <f t="shared" si="75"/>
        <v>200</v>
      </c>
      <c r="S213" s="584"/>
      <c r="T213" s="584"/>
      <c r="U213" s="585">
        <f t="shared" si="89"/>
        <v>200</v>
      </c>
      <c r="V213" s="586">
        <f t="shared" si="76"/>
        <v>-76.599999999999994</v>
      </c>
      <c r="W213" s="477"/>
      <c r="X213" s="618">
        <f t="shared" si="88"/>
        <v>58600</v>
      </c>
      <c r="Y213" s="618"/>
      <c r="Z213" s="617">
        <v>200</v>
      </c>
      <c r="AA213" s="361">
        <f t="shared" si="77"/>
        <v>170.94</v>
      </c>
      <c r="AB213" s="597"/>
      <c r="AC213" s="485">
        <f t="shared" si="78"/>
        <v>0</v>
      </c>
      <c r="AD213" s="597"/>
      <c r="AE213" s="485">
        <f t="shared" si="79"/>
        <v>0</v>
      </c>
      <c r="AF213" s="508">
        <f t="shared" si="80"/>
        <v>0</v>
      </c>
      <c r="AG213" s="508">
        <f t="shared" si="81"/>
        <v>0</v>
      </c>
      <c r="AH213" s="508">
        <f t="shared" si="82"/>
        <v>200</v>
      </c>
      <c r="AI213" s="508">
        <f t="shared" si="83"/>
        <v>0</v>
      </c>
      <c r="AJ213" s="508">
        <f t="shared" si="84"/>
        <v>29.06</v>
      </c>
      <c r="AK213" s="508">
        <f t="shared" si="85"/>
        <v>200</v>
      </c>
      <c r="AL213" s="116">
        <v>15</v>
      </c>
      <c r="AM213" s="486">
        <f t="shared" si="86"/>
        <v>14.76</v>
      </c>
      <c r="AN213" s="117">
        <f t="shared" si="90"/>
        <v>0</v>
      </c>
      <c r="AO213" s="487">
        <f t="shared" si="87"/>
        <v>0</v>
      </c>
      <c r="AP213" s="610"/>
    </row>
    <row r="214" spans="1:42" ht="14.25" customHeight="1">
      <c r="A214" s="701">
        <v>208</v>
      </c>
      <c r="B214" s="477"/>
      <c r="C214" s="611" t="s">
        <v>1826</v>
      </c>
      <c r="D214" s="477" t="s">
        <v>1296</v>
      </c>
      <c r="E214" s="475" t="s">
        <v>1453</v>
      </c>
      <c r="F214" s="611" t="s">
        <v>2041</v>
      </c>
      <c r="G214" s="579" t="s">
        <v>1923</v>
      </c>
      <c r="H214" s="482">
        <v>1</v>
      </c>
      <c r="I214" s="580">
        <v>40544</v>
      </c>
      <c r="J214" s="580">
        <v>37681</v>
      </c>
      <c r="K214" s="581">
        <v>58600</v>
      </c>
      <c r="L214" s="581">
        <v>854.7</v>
      </c>
      <c r="M214" s="582"/>
      <c r="N214" s="582"/>
      <c r="O214" s="582"/>
      <c r="P214" s="582">
        <f t="shared" si="73"/>
        <v>58600</v>
      </c>
      <c r="Q214" s="582">
        <f t="shared" si="74"/>
        <v>854.7</v>
      </c>
      <c r="R214" s="583">
        <f t="shared" si="75"/>
        <v>200</v>
      </c>
      <c r="S214" s="584"/>
      <c r="T214" s="584"/>
      <c r="U214" s="585">
        <f t="shared" si="89"/>
        <v>200</v>
      </c>
      <c r="V214" s="586">
        <f t="shared" si="76"/>
        <v>-76.599999999999994</v>
      </c>
      <c r="W214" s="477"/>
      <c r="X214" s="618">
        <f t="shared" si="88"/>
        <v>58600</v>
      </c>
      <c r="Y214" s="618"/>
      <c r="Z214" s="617">
        <v>200</v>
      </c>
      <c r="AA214" s="361">
        <f t="shared" si="77"/>
        <v>170.94</v>
      </c>
      <c r="AB214" s="597"/>
      <c r="AC214" s="485">
        <f t="shared" si="78"/>
        <v>0</v>
      </c>
      <c r="AD214" s="597"/>
      <c r="AE214" s="485">
        <f t="shared" si="79"/>
        <v>0</v>
      </c>
      <c r="AF214" s="508">
        <f t="shared" si="80"/>
        <v>0</v>
      </c>
      <c r="AG214" s="508">
        <f t="shared" si="81"/>
        <v>0</v>
      </c>
      <c r="AH214" s="508">
        <f t="shared" si="82"/>
        <v>200</v>
      </c>
      <c r="AI214" s="508">
        <f t="shared" si="83"/>
        <v>0</v>
      </c>
      <c r="AJ214" s="508">
        <f t="shared" si="84"/>
        <v>29.06</v>
      </c>
      <c r="AK214" s="508">
        <f t="shared" si="85"/>
        <v>200</v>
      </c>
      <c r="AL214" s="116">
        <v>15</v>
      </c>
      <c r="AM214" s="486">
        <f t="shared" si="86"/>
        <v>14.76</v>
      </c>
      <c r="AN214" s="117">
        <f t="shared" si="90"/>
        <v>0</v>
      </c>
      <c r="AO214" s="487">
        <f t="shared" si="87"/>
        <v>0</v>
      </c>
      <c r="AP214" s="610"/>
    </row>
    <row r="215" spans="1:42" ht="14.25" customHeight="1">
      <c r="A215" s="701">
        <v>209</v>
      </c>
      <c r="B215" s="477"/>
      <c r="C215" s="611" t="s">
        <v>1826</v>
      </c>
      <c r="D215" s="477" t="s">
        <v>1297</v>
      </c>
      <c r="E215" s="475" t="s">
        <v>1453</v>
      </c>
      <c r="F215" s="611" t="s">
        <v>2041</v>
      </c>
      <c r="G215" s="579" t="s">
        <v>1923</v>
      </c>
      <c r="H215" s="482">
        <v>1</v>
      </c>
      <c r="I215" s="580">
        <v>40544</v>
      </c>
      <c r="J215" s="580">
        <v>37681</v>
      </c>
      <c r="K215" s="581">
        <v>58600</v>
      </c>
      <c r="L215" s="581">
        <v>2564.1</v>
      </c>
      <c r="M215" s="582"/>
      <c r="N215" s="582"/>
      <c r="O215" s="582"/>
      <c r="P215" s="582">
        <f t="shared" si="73"/>
        <v>58600</v>
      </c>
      <c r="Q215" s="582">
        <f t="shared" si="74"/>
        <v>2564.1</v>
      </c>
      <c r="R215" s="583">
        <f t="shared" si="75"/>
        <v>200</v>
      </c>
      <c r="S215" s="584"/>
      <c r="T215" s="584"/>
      <c r="U215" s="585">
        <f t="shared" si="89"/>
        <v>200</v>
      </c>
      <c r="V215" s="586">
        <f t="shared" si="76"/>
        <v>-92.2</v>
      </c>
      <c r="W215" s="477"/>
      <c r="X215" s="618">
        <f t="shared" si="88"/>
        <v>58600</v>
      </c>
      <c r="Y215" s="618"/>
      <c r="Z215" s="617">
        <v>200</v>
      </c>
      <c r="AA215" s="361">
        <f t="shared" si="77"/>
        <v>170.94</v>
      </c>
      <c r="AB215" s="597"/>
      <c r="AC215" s="485">
        <f t="shared" si="78"/>
        <v>0</v>
      </c>
      <c r="AD215" s="597"/>
      <c r="AE215" s="485">
        <f t="shared" si="79"/>
        <v>0</v>
      </c>
      <c r="AF215" s="508">
        <f t="shared" si="80"/>
        <v>0</v>
      </c>
      <c r="AG215" s="508">
        <f t="shared" si="81"/>
        <v>0</v>
      </c>
      <c r="AH215" s="508">
        <f t="shared" si="82"/>
        <v>200</v>
      </c>
      <c r="AI215" s="508">
        <f t="shared" si="83"/>
        <v>0</v>
      </c>
      <c r="AJ215" s="508">
        <f t="shared" si="84"/>
        <v>29.06</v>
      </c>
      <c r="AK215" s="508">
        <f t="shared" si="85"/>
        <v>200</v>
      </c>
      <c r="AL215" s="116">
        <v>15</v>
      </c>
      <c r="AM215" s="486">
        <f t="shared" si="86"/>
        <v>14.76</v>
      </c>
      <c r="AN215" s="117">
        <f t="shared" si="90"/>
        <v>0</v>
      </c>
      <c r="AO215" s="487">
        <f t="shared" si="87"/>
        <v>0</v>
      </c>
      <c r="AP215" s="610"/>
    </row>
    <row r="216" spans="1:42" ht="14.25" customHeight="1">
      <c r="A216" s="701">
        <v>210</v>
      </c>
      <c r="B216" s="477"/>
      <c r="C216" s="477" t="s">
        <v>1530</v>
      </c>
      <c r="D216" s="477" t="s">
        <v>1298</v>
      </c>
      <c r="E216" s="475" t="s">
        <v>1453</v>
      </c>
      <c r="F216" s="611" t="s">
        <v>2039</v>
      </c>
      <c r="G216" s="579" t="s">
        <v>1923</v>
      </c>
      <c r="H216" s="482">
        <v>1</v>
      </c>
      <c r="I216" s="580">
        <v>40544</v>
      </c>
      <c r="J216" s="580">
        <v>37681</v>
      </c>
      <c r="K216" s="581">
        <v>66150.22</v>
      </c>
      <c r="L216" s="581">
        <v>2564.1</v>
      </c>
      <c r="M216" s="582"/>
      <c r="N216" s="582"/>
      <c r="O216" s="582"/>
      <c r="P216" s="582">
        <f t="shared" si="73"/>
        <v>66150.22</v>
      </c>
      <c r="Q216" s="582">
        <f t="shared" si="74"/>
        <v>2564.1</v>
      </c>
      <c r="R216" s="583">
        <f t="shared" si="75"/>
        <v>200</v>
      </c>
      <c r="S216" s="584"/>
      <c r="T216" s="584"/>
      <c r="U216" s="585">
        <f t="shared" si="89"/>
        <v>200</v>
      </c>
      <c r="V216" s="586">
        <f t="shared" si="76"/>
        <v>-92.2</v>
      </c>
      <c r="W216" s="477"/>
      <c r="X216" s="618">
        <f t="shared" si="88"/>
        <v>66150.22</v>
      </c>
      <c r="Y216" s="618"/>
      <c r="Z216" s="617">
        <v>200</v>
      </c>
      <c r="AA216" s="361">
        <f t="shared" si="77"/>
        <v>170.94</v>
      </c>
      <c r="AB216" s="597"/>
      <c r="AC216" s="485">
        <f t="shared" si="78"/>
        <v>0</v>
      </c>
      <c r="AD216" s="597"/>
      <c r="AE216" s="485">
        <f t="shared" si="79"/>
        <v>0</v>
      </c>
      <c r="AF216" s="508">
        <f t="shared" si="80"/>
        <v>0</v>
      </c>
      <c r="AG216" s="508">
        <f t="shared" si="81"/>
        <v>0</v>
      </c>
      <c r="AH216" s="508">
        <f t="shared" si="82"/>
        <v>200</v>
      </c>
      <c r="AI216" s="508">
        <f t="shared" si="83"/>
        <v>0</v>
      </c>
      <c r="AJ216" s="508">
        <f t="shared" si="84"/>
        <v>29.06</v>
      </c>
      <c r="AK216" s="508">
        <f t="shared" si="85"/>
        <v>200</v>
      </c>
      <c r="AL216" s="116">
        <v>15</v>
      </c>
      <c r="AM216" s="486">
        <f t="shared" si="86"/>
        <v>14.76</v>
      </c>
      <c r="AN216" s="117">
        <f t="shared" si="90"/>
        <v>0</v>
      </c>
      <c r="AO216" s="487">
        <f t="shared" si="87"/>
        <v>0</v>
      </c>
      <c r="AP216" s="610"/>
    </row>
    <row r="217" spans="1:42" ht="14.25" customHeight="1">
      <c r="A217" s="701">
        <v>211</v>
      </c>
      <c r="B217" s="477"/>
      <c r="C217" s="477" t="s">
        <v>1527</v>
      </c>
      <c r="D217" s="477" t="s">
        <v>1299</v>
      </c>
      <c r="E217" s="475" t="s">
        <v>1453</v>
      </c>
      <c r="F217" s="611" t="s">
        <v>2039</v>
      </c>
      <c r="G217" s="579" t="s">
        <v>1923</v>
      </c>
      <c r="H217" s="482">
        <v>1</v>
      </c>
      <c r="I217" s="580">
        <v>40544</v>
      </c>
      <c r="J217" s="580">
        <v>37681</v>
      </c>
      <c r="K217" s="581">
        <v>37500</v>
      </c>
      <c r="L217" s="581">
        <v>2564.1</v>
      </c>
      <c r="M217" s="582"/>
      <c r="N217" s="582"/>
      <c r="O217" s="582"/>
      <c r="P217" s="582">
        <f t="shared" si="73"/>
        <v>37500</v>
      </c>
      <c r="Q217" s="582">
        <f t="shared" si="74"/>
        <v>2564.1</v>
      </c>
      <c r="R217" s="583">
        <f t="shared" si="75"/>
        <v>200</v>
      </c>
      <c r="S217" s="584"/>
      <c r="T217" s="584"/>
      <c r="U217" s="585">
        <f t="shared" si="89"/>
        <v>200</v>
      </c>
      <c r="V217" s="586">
        <f t="shared" si="76"/>
        <v>-92.2</v>
      </c>
      <c r="W217" s="477"/>
      <c r="X217" s="618">
        <f t="shared" si="88"/>
        <v>37500</v>
      </c>
      <c r="Y217" s="618"/>
      <c r="Z217" s="617">
        <v>200</v>
      </c>
      <c r="AA217" s="361">
        <f t="shared" si="77"/>
        <v>170.94</v>
      </c>
      <c r="AB217" s="597"/>
      <c r="AC217" s="485">
        <f t="shared" si="78"/>
        <v>0</v>
      </c>
      <c r="AD217" s="597"/>
      <c r="AE217" s="485">
        <f t="shared" si="79"/>
        <v>0</v>
      </c>
      <c r="AF217" s="508">
        <f t="shared" si="80"/>
        <v>0</v>
      </c>
      <c r="AG217" s="508">
        <f t="shared" si="81"/>
        <v>0</v>
      </c>
      <c r="AH217" s="508">
        <f t="shared" si="82"/>
        <v>200</v>
      </c>
      <c r="AI217" s="508">
        <f t="shared" si="83"/>
        <v>0</v>
      </c>
      <c r="AJ217" s="508">
        <f t="shared" si="84"/>
        <v>29.06</v>
      </c>
      <c r="AK217" s="508">
        <f t="shared" si="85"/>
        <v>200</v>
      </c>
      <c r="AL217" s="116">
        <v>15</v>
      </c>
      <c r="AM217" s="486">
        <f t="shared" si="86"/>
        <v>14.76</v>
      </c>
      <c r="AN217" s="117">
        <f t="shared" si="90"/>
        <v>0</v>
      </c>
      <c r="AO217" s="487">
        <f t="shared" si="87"/>
        <v>0</v>
      </c>
      <c r="AP217" s="610"/>
    </row>
    <row r="218" spans="1:42" ht="14.25" customHeight="1">
      <c r="A218" s="701">
        <v>212</v>
      </c>
      <c r="B218" s="477"/>
      <c r="C218" s="477" t="s">
        <v>1527</v>
      </c>
      <c r="D218" s="477" t="s">
        <v>1299</v>
      </c>
      <c r="E218" s="475" t="s">
        <v>1453</v>
      </c>
      <c r="F218" s="611" t="s">
        <v>2039</v>
      </c>
      <c r="G218" s="579" t="s">
        <v>1923</v>
      </c>
      <c r="H218" s="482">
        <v>1</v>
      </c>
      <c r="I218" s="580">
        <v>40544</v>
      </c>
      <c r="J218" s="580">
        <v>37681</v>
      </c>
      <c r="K218" s="581">
        <v>37500</v>
      </c>
      <c r="L218" s="581">
        <v>1709.4</v>
      </c>
      <c r="M218" s="582"/>
      <c r="N218" s="582"/>
      <c r="O218" s="582"/>
      <c r="P218" s="582">
        <f t="shared" si="73"/>
        <v>37500</v>
      </c>
      <c r="Q218" s="582">
        <f t="shared" si="74"/>
        <v>1709.4</v>
      </c>
      <c r="R218" s="583">
        <f t="shared" si="75"/>
        <v>200</v>
      </c>
      <c r="S218" s="584"/>
      <c r="T218" s="584"/>
      <c r="U218" s="585">
        <f t="shared" si="89"/>
        <v>200</v>
      </c>
      <c r="V218" s="586">
        <f t="shared" si="76"/>
        <v>-88.3</v>
      </c>
      <c r="W218" s="477"/>
      <c r="X218" s="618">
        <f t="shared" si="88"/>
        <v>37500</v>
      </c>
      <c r="Y218" s="618"/>
      <c r="Z218" s="617">
        <v>200</v>
      </c>
      <c r="AA218" s="361">
        <f t="shared" si="77"/>
        <v>170.94</v>
      </c>
      <c r="AB218" s="597"/>
      <c r="AC218" s="485">
        <f t="shared" si="78"/>
        <v>0</v>
      </c>
      <c r="AD218" s="597"/>
      <c r="AE218" s="485">
        <f t="shared" si="79"/>
        <v>0</v>
      </c>
      <c r="AF218" s="508">
        <f t="shared" si="80"/>
        <v>0</v>
      </c>
      <c r="AG218" s="508">
        <f t="shared" si="81"/>
        <v>0</v>
      </c>
      <c r="AH218" s="508">
        <f t="shared" si="82"/>
        <v>200</v>
      </c>
      <c r="AI218" s="508">
        <f t="shared" si="83"/>
        <v>0</v>
      </c>
      <c r="AJ218" s="508">
        <f t="shared" si="84"/>
        <v>29.06</v>
      </c>
      <c r="AK218" s="508">
        <f t="shared" si="85"/>
        <v>200</v>
      </c>
      <c r="AL218" s="116">
        <v>15</v>
      </c>
      <c r="AM218" s="486">
        <f t="shared" si="86"/>
        <v>14.76</v>
      </c>
      <c r="AN218" s="117">
        <f t="shared" si="90"/>
        <v>0</v>
      </c>
      <c r="AO218" s="487">
        <f t="shared" si="87"/>
        <v>0</v>
      </c>
      <c r="AP218" s="610"/>
    </row>
    <row r="219" spans="1:42" ht="14.25" customHeight="1">
      <c r="A219" s="701">
        <v>213</v>
      </c>
      <c r="B219" s="477"/>
      <c r="C219" s="477" t="s">
        <v>1526</v>
      </c>
      <c r="D219" s="477" t="s">
        <v>1300</v>
      </c>
      <c r="E219" s="475" t="s">
        <v>1453</v>
      </c>
      <c r="F219" s="611" t="s">
        <v>2039</v>
      </c>
      <c r="G219" s="579" t="s">
        <v>1923</v>
      </c>
      <c r="H219" s="482">
        <v>1</v>
      </c>
      <c r="I219" s="580">
        <v>40544</v>
      </c>
      <c r="J219" s="580">
        <v>37681</v>
      </c>
      <c r="K219" s="581">
        <v>56000</v>
      </c>
      <c r="L219" s="581">
        <v>1709.4</v>
      </c>
      <c r="M219" s="582"/>
      <c r="N219" s="582"/>
      <c r="O219" s="582"/>
      <c r="P219" s="582">
        <f t="shared" si="73"/>
        <v>56000</v>
      </c>
      <c r="Q219" s="582">
        <f t="shared" si="74"/>
        <v>1709.4</v>
      </c>
      <c r="R219" s="583">
        <f t="shared" si="75"/>
        <v>200</v>
      </c>
      <c r="S219" s="584"/>
      <c r="T219" s="584"/>
      <c r="U219" s="585">
        <f t="shared" si="89"/>
        <v>200</v>
      </c>
      <c r="V219" s="586">
        <f t="shared" si="76"/>
        <v>-88.3</v>
      </c>
      <c r="W219" s="477"/>
      <c r="X219" s="618">
        <f t="shared" si="88"/>
        <v>56000</v>
      </c>
      <c r="Y219" s="618"/>
      <c r="Z219" s="617">
        <v>200</v>
      </c>
      <c r="AA219" s="361">
        <f t="shared" si="77"/>
        <v>170.94</v>
      </c>
      <c r="AB219" s="597"/>
      <c r="AC219" s="485">
        <f t="shared" si="78"/>
        <v>0</v>
      </c>
      <c r="AD219" s="597"/>
      <c r="AE219" s="485">
        <f t="shared" si="79"/>
        <v>0</v>
      </c>
      <c r="AF219" s="508">
        <f t="shared" si="80"/>
        <v>0</v>
      </c>
      <c r="AG219" s="508">
        <f t="shared" si="81"/>
        <v>0</v>
      </c>
      <c r="AH219" s="508">
        <f t="shared" si="82"/>
        <v>200</v>
      </c>
      <c r="AI219" s="508">
        <f t="shared" si="83"/>
        <v>0</v>
      </c>
      <c r="AJ219" s="508">
        <f t="shared" si="84"/>
        <v>29.06</v>
      </c>
      <c r="AK219" s="508">
        <f t="shared" si="85"/>
        <v>200</v>
      </c>
      <c r="AL219" s="116">
        <v>15</v>
      </c>
      <c r="AM219" s="486">
        <f t="shared" si="86"/>
        <v>14.76</v>
      </c>
      <c r="AN219" s="117">
        <f t="shared" si="90"/>
        <v>0</v>
      </c>
      <c r="AO219" s="487">
        <f t="shared" si="87"/>
        <v>0</v>
      </c>
      <c r="AP219" s="610"/>
    </row>
    <row r="220" spans="1:42" ht="14.25" customHeight="1">
      <c r="A220" s="701">
        <v>214</v>
      </c>
      <c r="B220" s="477"/>
      <c r="C220" s="477" t="s">
        <v>1526</v>
      </c>
      <c r="D220" s="477" t="s">
        <v>1300</v>
      </c>
      <c r="E220" s="475" t="s">
        <v>1453</v>
      </c>
      <c r="F220" s="611" t="s">
        <v>2039</v>
      </c>
      <c r="G220" s="579" t="s">
        <v>1923</v>
      </c>
      <c r="H220" s="482">
        <v>1</v>
      </c>
      <c r="I220" s="580">
        <v>40544</v>
      </c>
      <c r="J220" s="580">
        <v>37681</v>
      </c>
      <c r="K220" s="581">
        <v>56000</v>
      </c>
      <c r="L220" s="581">
        <v>1709.4</v>
      </c>
      <c r="M220" s="582"/>
      <c r="N220" s="582"/>
      <c r="O220" s="582"/>
      <c r="P220" s="582">
        <f t="shared" si="73"/>
        <v>56000</v>
      </c>
      <c r="Q220" s="582">
        <f t="shared" si="74"/>
        <v>1709.4</v>
      </c>
      <c r="R220" s="583">
        <f t="shared" si="75"/>
        <v>200</v>
      </c>
      <c r="S220" s="584"/>
      <c r="T220" s="584"/>
      <c r="U220" s="585">
        <f t="shared" si="89"/>
        <v>200</v>
      </c>
      <c r="V220" s="586">
        <f t="shared" si="76"/>
        <v>-88.3</v>
      </c>
      <c r="W220" s="477"/>
      <c r="X220" s="618">
        <f t="shared" si="88"/>
        <v>56000</v>
      </c>
      <c r="Y220" s="618"/>
      <c r="Z220" s="617">
        <v>200</v>
      </c>
      <c r="AA220" s="361">
        <f t="shared" si="77"/>
        <v>170.94</v>
      </c>
      <c r="AB220" s="597"/>
      <c r="AC220" s="485">
        <f t="shared" si="78"/>
        <v>0</v>
      </c>
      <c r="AD220" s="597"/>
      <c r="AE220" s="485">
        <f t="shared" si="79"/>
        <v>0</v>
      </c>
      <c r="AF220" s="508">
        <f t="shared" si="80"/>
        <v>0</v>
      </c>
      <c r="AG220" s="508">
        <f t="shared" si="81"/>
        <v>0</v>
      </c>
      <c r="AH220" s="508">
        <f t="shared" si="82"/>
        <v>200</v>
      </c>
      <c r="AI220" s="508">
        <f t="shared" si="83"/>
        <v>0</v>
      </c>
      <c r="AJ220" s="508">
        <f t="shared" si="84"/>
        <v>29.06</v>
      </c>
      <c r="AK220" s="508">
        <f t="shared" si="85"/>
        <v>200</v>
      </c>
      <c r="AL220" s="116">
        <v>15</v>
      </c>
      <c r="AM220" s="486">
        <f t="shared" si="86"/>
        <v>14.76</v>
      </c>
      <c r="AN220" s="117">
        <f t="shared" si="90"/>
        <v>0</v>
      </c>
      <c r="AO220" s="487">
        <f t="shared" si="87"/>
        <v>0</v>
      </c>
      <c r="AP220" s="610"/>
    </row>
    <row r="221" spans="1:42" ht="14.25" customHeight="1">
      <c r="A221" s="701">
        <v>215</v>
      </c>
      <c r="B221" s="477"/>
      <c r="C221" s="477" t="s">
        <v>1526</v>
      </c>
      <c r="D221" s="477" t="s">
        <v>1300</v>
      </c>
      <c r="E221" s="475" t="s">
        <v>1453</v>
      </c>
      <c r="F221" s="611" t="s">
        <v>2039</v>
      </c>
      <c r="G221" s="579" t="s">
        <v>1923</v>
      </c>
      <c r="H221" s="482">
        <v>1</v>
      </c>
      <c r="I221" s="580">
        <v>40544</v>
      </c>
      <c r="J221" s="580">
        <v>37681</v>
      </c>
      <c r="K221" s="581">
        <v>56000</v>
      </c>
      <c r="L221" s="581">
        <v>1709.4</v>
      </c>
      <c r="M221" s="582"/>
      <c r="N221" s="582"/>
      <c r="O221" s="582"/>
      <c r="P221" s="582">
        <f t="shared" si="73"/>
        <v>56000</v>
      </c>
      <c r="Q221" s="582">
        <f t="shared" si="74"/>
        <v>1709.4</v>
      </c>
      <c r="R221" s="583">
        <f t="shared" si="75"/>
        <v>200</v>
      </c>
      <c r="S221" s="584"/>
      <c r="T221" s="584"/>
      <c r="U221" s="585">
        <f t="shared" si="89"/>
        <v>200</v>
      </c>
      <c r="V221" s="586">
        <f t="shared" si="76"/>
        <v>-88.3</v>
      </c>
      <c r="W221" s="477"/>
      <c r="X221" s="618">
        <f t="shared" si="88"/>
        <v>56000</v>
      </c>
      <c r="Y221" s="618"/>
      <c r="Z221" s="617">
        <v>200</v>
      </c>
      <c r="AA221" s="361">
        <f t="shared" si="77"/>
        <v>170.94</v>
      </c>
      <c r="AB221" s="597"/>
      <c r="AC221" s="485">
        <f t="shared" si="78"/>
        <v>0</v>
      </c>
      <c r="AD221" s="597"/>
      <c r="AE221" s="485">
        <f t="shared" si="79"/>
        <v>0</v>
      </c>
      <c r="AF221" s="508">
        <f t="shared" si="80"/>
        <v>0</v>
      </c>
      <c r="AG221" s="508">
        <f t="shared" si="81"/>
        <v>0</v>
      </c>
      <c r="AH221" s="508">
        <f t="shared" si="82"/>
        <v>200</v>
      </c>
      <c r="AI221" s="508">
        <f t="shared" si="83"/>
        <v>0</v>
      </c>
      <c r="AJ221" s="508">
        <f t="shared" si="84"/>
        <v>29.06</v>
      </c>
      <c r="AK221" s="508">
        <f t="shared" si="85"/>
        <v>200</v>
      </c>
      <c r="AL221" s="116">
        <v>15</v>
      </c>
      <c r="AM221" s="486">
        <f t="shared" si="86"/>
        <v>14.76</v>
      </c>
      <c r="AN221" s="117">
        <f t="shared" si="90"/>
        <v>0</v>
      </c>
      <c r="AO221" s="487">
        <f t="shared" si="87"/>
        <v>0</v>
      </c>
      <c r="AP221" s="610"/>
    </row>
    <row r="222" spans="1:42" ht="14.25" customHeight="1">
      <c r="A222" s="701">
        <v>216</v>
      </c>
      <c r="B222" s="477"/>
      <c r="C222" s="477" t="s">
        <v>1526</v>
      </c>
      <c r="D222" s="477" t="s">
        <v>1300</v>
      </c>
      <c r="E222" s="475" t="s">
        <v>1453</v>
      </c>
      <c r="F222" s="611" t="s">
        <v>2039</v>
      </c>
      <c r="G222" s="579" t="s">
        <v>1923</v>
      </c>
      <c r="H222" s="482">
        <v>1</v>
      </c>
      <c r="I222" s="580">
        <v>40544</v>
      </c>
      <c r="J222" s="580">
        <v>37681</v>
      </c>
      <c r="K222" s="581">
        <v>56000</v>
      </c>
      <c r="L222" s="581">
        <v>1709.4</v>
      </c>
      <c r="M222" s="582"/>
      <c r="N222" s="582"/>
      <c r="O222" s="582"/>
      <c r="P222" s="582">
        <f t="shared" si="73"/>
        <v>56000</v>
      </c>
      <c r="Q222" s="582">
        <f t="shared" si="74"/>
        <v>1709.4</v>
      </c>
      <c r="R222" s="583">
        <f t="shared" si="75"/>
        <v>200</v>
      </c>
      <c r="S222" s="584"/>
      <c r="T222" s="584"/>
      <c r="U222" s="585">
        <f t="shared" si="89"/>
        <v>200</v>
      </c>
      <c r="V222" s="586">
        <f t="shared" si="76"/>
        <v>-88.3</v>
      </c>
      <c r="W222" s="477"/>
      <c r="X222" s="618">
        <f t="shared" si="88"/>
        <v>56000</v>
      </c>
      <c r="Y222" s="618"/>
      <c r="Z222" s="617">
        <v>200</v>
      </c>
      <c r="AA222" s="361">
        <f t="shared" si="77"/>
        <v>170.94</v>
      </c>
      <c r="AB222" s="597"/>
      <c r="AC222" s="485">
        <f t="shared" si="78"/>
        <v>0</v>
      </c>
      <c r="AD222" s="597"/>
      <c r="AE222" s="485">
        <f t="shared" si="79"/>
        <v>0</v>
      </c>
      <c r="AF222" s="508">
        <f t="shared" si="80"/>
        <v>0</v>
      </c>
      <c r="AG222" s="508">
        <f t="shared" si="81"/>
        <v>0</v>
      </c>
      <c r="AH222" s="508">
        <f t="shared" si="82"/>
        <v>200</v>
      </c>
      <c r="AI222" s="508">
        <f t="shared" si="83"/>
        <v>0</v>
      </c>
      <c r="AJ222" s="508">
        <f t="shared" si="84"/>
        <v>29.06</v>
      </c>
      <c r="AK222" s="508">
        <f t="shared" si="85"/>
        <v>200</v>
      </c>
      <c r="AL222" s="116">
        <v>15</v>
      </c>
      <c r="AM222" s="486">
        <f t="shared" si="86"/>
        <v>14.76</v>
      </c>
      <c r="AN222" s="117">
        <f t="shared" si="90"/>
        <v>0</v>
      </c>
      <c r="AO222" s="487">
        <f t="shared" si="87"/>
        <v>0</v>
      </c>
      <c r="AP222" s="610"/>
    </row>
    <row r="223" spans="1:42" ht="14.25" customHeight="1">
      <c r="A223" s="701">
        <v>217</v>
      </c>
      <c r="B223" s="477"/>
      <c r="C223" s="477" t="s">
        <v>1526</v>
      </c>
      <c r="D223" s="477" t="s">
        <v>1300</v>
      </c>
      <c r="E223" s="475" t="s">
        <v>1453</v>
      </c>
      <c r="F223" s="611" t="s">
        <v>2039</v>
      </c>
      <c r="G223" s="579" t="s">
        <v>1923</v>
      </c>
      <c r="H223" s="482">
        <v>1</v>
      </c>
      <c r="I223" s="580">
        <v>40544</v>
      </c>
      <c r="J223" s="580">
        <v>37681</v>
      </c>
      <c r="K223" s="581">
        <v>56000</v>
      </c>
      <c r="L223" s="581">
        <v>1709.4</v>
      </c>
      <c r="M223" s="582"/>
      <c r="N223" s="582"/>
      <c r="O223" s="582"/>
      <c r="P223" s="582">
        <f t="shared" si="73"/>
        <v>56000</v>
      </c>
      <c r="Q223" s="582">
        <f t="shared" si="74"/>
        <v>1709.4</v>
      </c>
      <c r="R223" s="583">
        <f t="shared" si="75"/>
        <v>200</v>
      </c>
      <c r="S223" s="584"/>
      <c r="T223" s="584"/>
      <c r="U223" s="585">
        <f t="shared" si="89"/>
        <v>200</v>
      </c>
      <c r="V223" s="586">
        <f t="shared" si="76"/>
        <v>-88.3</v>
      </c>
      <c r="W223" s="477"/>
      <c r="X223" s="618">
        <f t="shared" si="88"/>
        <v>56000</v>
      </c>
      <c r="Y223" s="618"/>
      <c r="Z223" s="617">
        <v>200</v>
      </c>
      <c r="AA223" s="361">
        <f t="shared" si="77"/>
        <v>170.94</v>
      </c>
      <c r="AB223" s="597"/>
      <c r="AC223" s="485">
        <f t="shared" si="78"/>
        <v>0</v>
      </c>
      <c r="AD223" s="597"/>
      <c r="AE223" s="485">
        <f t="shared" si="79"/>
        <v>0</v>
      </c>
      <c r="AF223" s="508">
        <f t="shared" si="80"/>
        <v>0</v>
      </c>
      <c r="AG223" s="508">
        <f t="shared" si="81"/>
        <v>0</v>
      </c>
      <c r="AH223" s="508">
        <f t="shared" si="82"/>
        <v>200</v>
      </c>
      <c r="AI223" s="508">
        <f t="shared" si="83"/>
        <v>0</v>
      </c>
      <c r="AJ223" s="508">
        <f t="shared" si="84"/>
        <v>29.06</v>
      </c>
      <c r="AK223" s="508">
        <f t="shared" si="85"/>
        <v>200</v>
      </c>
      <c r="AL223" s="116">
        <v>15</v>
      </c>
      <c r="AM223" s="486">
        <f t="shared" si="86"/>
        <v>14.76</v>
      </c>
      <c r="AN223" s="117">
        <f t="shared" si="90"/>
        <v>0</v>
      </c>
      <c r="AO223" s="487">
        <f t="shared" si="87"/>
        <v>0</v>
      </c>
      <c r="AP223" s="610"/>
    </row>
    <row r="224" spans="1:42" ht="14.25" customHeight="1">
      <c r="A224" s="701">
        <v>218</v>
      </c>
      <c r="B224" s="477"/>
      <c r="C224" s="477" t="s">
        <v>1526</v>
      </c>
      <c r="D224" s="477" t="s">
        <v>1300</v>
      </c>
      <c r="E224" s="475" t="s">
        <v>1453</v>
      </c>
      <c r="F224" s="611" t="s">
        <v>2039</v>
      </c>
      <c r="G224" s="579" t="s">
        <v>1923</v>
      </c>
      <c r="H224" s="482">
        <v>1</v>
      </c>
      <c r="I224" s="580">
        <v>40544</v>
      </c>
      <c r="J224" s="580">
        <v>37681</v>
      </c>
      <c r="K224" s="581">
        <v>56000</v>
      </c>
      <c r="L224" s="581">
        <v>1709.4</v>
      </c>
      <c r="M224" s="582"/>
      <c r="N224" s="582"/>
      <c r="O224" s="582"/>
      <c r="P224" s="582">
        <f t="shared" si="73"/>
        <v>56000</v>
      </c>
      <c r="Q224" s="582">
        <f t="shared" si="74"/>
        <v>1709.4</v>
      </c>
      <c r="R224" s="583">
        <f t="shared" si="75"/>
        <v>200</v>
      </c>
      <c r="S224" s="584"/>
      <c r="T224" s="584"/>
      <c r="U224" s="585">
        <f t="shared" si="89"/>
        <v>200</v>
      </c>
      <c r="V224" s="586">
        <f t="shared" si="76"/>
        <v>-88.3</v>
      </c>
      <c r="W224" s="477"/>
      <c r="X224" s="618">
        <f t="shared" si="88"/>
        <v>56000</v>
      </c>
      <c r="Y224" s="618"/>
      <c r="Z224" s="617">
        <v>200</v>
      </c>
      <c r="AA224" s="361">
        <f t="shared" si="77"/>
        <v>170.94</v>
      </c>
      <c r="AB224" s="597"/>
      <c r="AC224" s="485">
        <f t="shared" si="78"/>
        <v>0</v>
      </c>
      <c r="AD224" s="597"/>
      <c r="AE224" s="485">
        <f t="shared" si="79"/>
        <v>0</v>
      </c>
      <c r="AF224" s="508">
        <f t="shared" si="80"/>
        <v>0</v>
      </c>
      <c r="AG224" s="508">
        <f t="shared" si="81"/>
        <v>0</v>
      </c>
      <c r="AH224" s="508">
        <f t="shared" si="82"/>
        <v>200</v>
      </c>
      <c r="AI224" s="508">
        <f t="shared" si="83"/>
        <v>0</v>
      </c>
      <c r="AJ224" s="508">
        <f t="shared" si="84"/>
        <v>29.06</v>
      </c>
      <c r="AK224" s="508">
        <f t="shared" si="85"/>
        <v>200</v>
      </c>
      <c r="AL224" s="116">
        <v>15</v>
      </c>
      <c r="AM224" s="486">
        <f t="shared" si="86"/>
        <v>14.76</v>
      </c>
      <c r="AN224" s="117">
        <f t="shared" si="90"/>
        <v>0</v>
      </c>
      <c r="AO224" s="487">
        <f t="shared" si="87"/>
        <v>0</v>
      </c>
      <c r="AP224" s="610"/>
    </row>
    <row r="225" spans="1:42" ht="14.25" customHeight="1">
      <c r="A225" s="701">
        <v>219</v>
      </c>
      <c r="B225" s="477"/>
      <c r="C225" s="477" t="s">
        <v>1526</v>
      </c>
      <c r="D225" s="477" t="s">
        <v>1300</v>
      </c>
      <c r="E225" s="475" t="s">
        <v>1453</v>
      </c>
      <c r="F225" s="611" t="s">
        <v>2039</v>
      </c>
      <c r="G225" s="579" t="s">
        <v>1923</v>
      </c>
      <c r="H225" s="482">
        <v>1</v>
      </c>
      <c r="I225" s="580">
        <v>40544</v>
      </c>
      <c r="J225" s="580">
        <v>37681</v>
      </c>
      <c r="K225" s="581">
        <v>56000</v>
      </c>
      <c r="L225" s="581">
        <v>1709.4</v>
      </c>
      <c r="M225" s="582"/>
      <c r="N225" s="582"/>
      <c r="O225" s="582"/>
      <c r="P225" s="582">
        <f t="shared" si="73"/>
        <v>56000</v>
      </c>
      <c r="Q225" s="582">
        <f t="shared" si="74"/>
        <v>1709.4</v>
      </c>
      <c r="R225" s="583">
        <f t="shared" si="75"/>
        <v>200</v>
      </c>
      <c r="S225" s="584"/>
      <c r="T225" s="584"/>
      <c r="U225" s="585">
        <f t="shared" si="89"/>
        <v>200</v>
      </c>
      <c r="V225" s="586">
        <f t="shared" si="76"/>
        <v>-88.3</v>
      </c>
      <c r="W225" s="477"/>
      <c r="X225" s="618">
        <f t="shared" si="88"/>
        <v>56000</v>
      </c>
      <c r="Y225" s="618"/>
      <c r="Z225" s="617">
        <v>200</v>
      </c>
      <c r="AA225" s="361">
        <f t="shared" si="77"/>
        <v>170.94</v>
      </c>
      <c r="AB225" s="597"/>
      <c r="AC225" s="485">
        <f t="shared" si="78"/>
        <v>0</v>
      </c>
      <c r="AD225" s="597"/>
      <c r="AE225" s="485">
        <f t="shared" si="79"/>
        <v>0</v>
      </c>
      <c r="AF225" s="508">
        <f t="shared" si="80"/>
        <v>0</v>
      </c>
      <c r="AG225" s="508">
        <f t="shared" si="81"/>
        <v>0</v>
      </c>
      <c r="AH225" s="508">
        <f t="shared" si="82"/>
        <v>200</v>
      </c>
      <c r="AI225" s="508">
        <f t="shared" si="83"/>
        <v>0</v>
      </c>
      <c r="AJ225" s="508">
        <f t="shared" si="84"/>
        <v>29.06</v>
      </c>
      <c r="AK225" s="508">
        <f t="shared" si="85"/>
        <v>200</v>
      </c>
      <c r="AL225" s="116">
        <v>15</v>
      </c>
      <c r="AM225" s="486">
        <f t="shared" si="86"/>
        <v>14.76</v>
      </c>
      <c r="AN225" s="117">
        <f t="shared" si="90"/>
        <v>0</v>
      </c>
      <c r="AO225" s="487">
        <f t="shared" si="87"/>
        <v>0</v>
      </c>
      <c r="AP225" s="610"/>
    </row>
    <row r="226" spans="1:42" ht="14.25" customHeight="1">
      <c r="A226" s="701">
        <v>220</v>
      </c>
      <c r="B226" s="477"/>
      <c r="C226" s="477" t="s">
        <v>1622</v>
      </c>
      <c r="D226" s="477" t="s">
        <v>1301</v>
      </c>
      <c r="E226" s="475" t="s">
        <v>1453</v>
      </c>
      <c r="F226" s="477"/>
      <c r="G226" s="579" t="s">
        <v>1969</v>
      </c>
      <c r="H226" s="482">
        <v>1</v>
      </c>
      <c r="I226" s="580">
        <v>40544</v>
      </c>
      <c r="J226" s="580">
        <v>37681</v>
      </c>
      <c r="K226" s="581">
        <v>30175</v>
      </c>
      <c r="L226" s="581">
        <v>1440.88</v>
      </c>
      <c r="M226" s="582"/>
      <c r="N226" s="582"/>
      <c r="O226" s="582"/>
      <c r="P226" s="582">
        <f t="shared" si="73"/>
        <v>30175</v>
      </c>
      <c r="Q226" s="582">
        <f t="shared" si="74"/>
        <v>1440.88</v>
      </c>
      <c r="R226" s="583">
        <f t="shared" si="75"/>
        <v>100</v>
      </c>
      <c r="S226" s="584"/>
      <c r="T226" s="584">
        <v>3</v>
      </c>
      <c r="U226" s="585">
        <f>ROUND(R226*(1-T226/100),0)</f>
        <v>97</v>
      </c>
      <c r="V226" s="586">
        <f t="shared" si="76"/>
        <v>-93.27</v>
      </c>
      <c r="W226" s="611" t="s">
        <v>2074</v>
      </c>
      <c r="X226" s="618">
        <f t="shared" si="88"/>
        <v>30175</v>
      </c>
      <c r="Y226" s="618"/>
      <c r="Z226" s="617">
        <v>100</v>
      </c>
      <c r="AA226" s="361">
        <f t="shared" si="77"/>
        <v>85.47</v>
      </c>
      <c r="AB226" s="597"/>
      <c r="AC226" s="485">
        <f t="shared" si="78"/>
        <v>0</v>
      </c>
      <c r="AD226" s="597"/>
      <c r="AE226" s="485">
        <f t="shared" si="79"/>
        <v>0</v>
      </c>
      <c r="AF226" s="508">
        <f t="shared" si="80"/>
        <v>0</v>
      </c>
      <c r="AG226" s="508">
        <f t="shared" si="81"/>
        <v>0</v>
      </c>
      <c r="AH226" s="508">
        <f t="shared" si="82"/>
        <v>100</v>
      </c>
      <c r="AI226" s="508">
        <f t="shared" si="83"/>
        <v>0</v>
      </c>
      <c r="AJ226" s="508">
        <f t="shared" si="84"/>
        <v>14.53</v>
      </c>
      <c r="AK226" s="508">
        <f t="shared" si="85"/>
        <v>100</v>
      </c>
      <c r="AL226" s="116">
        <v>12</v>
      </c>
      <c r="AM226" s="486">
        <f t="shared" si="86"/>
        <v>14.76</v>
      </c>
      <c r="AN226" s="117">
        <f t="shared" si="90"/>
        <v>-3</v>
      </c>
      <c r="AO226" s="487">
        <f t="shared" si="87"/>
        <v>-26</v>
      </c>
      <c r="AP226" s="610"/>
    </row>
    <row r="227" spans="1:42" ht="14.25" customHeight="1">
      <c r="A227" s="701">
        <v>221</v>
      </c>
      <c r="B227" s="477"/>
      <c r="C227" s="477" t="s">
        <v>1526</v>
      </c>
      <c r="D227" s="477" t="s">
        <v>1300</v>
      </c>
      <c r="E227" s="475" t="s">
        <v>1453</v>
      </c>
      <c r="F227" s="611" t="s">
        <v>2039</v>
      </c>
      <c r="G227" s="579" t="s">
        <v>1923</v>
      </c>
      <c r="H227" s="482">
        <v>1</v>
      </c>
      <c r="I227" s="580">
        <v>40544</v>
      </c>
      <c r="J227" s="580">
        <v>37681</v>
      </c>
      <c r="K227" s="581">
        <v>16858.330000000002</v>
      </c>
      <c r="L227" s="581">
        <v>1440.88</v>
      </c>
      <c r="M227" s="582"/>
      <c r="N227" s="582"/>
      <c r="O227" s="582"/>
      <c r="P227" s="582">
        <f t="shared" si="73"/>
        <v>16858.330000000002</v>
      </c>
      <c r="Q227" s="582">
        <f t="shared" si="74"/>
        <v>1440.88</v>
      </c>
      <c r="R227" s="583">
        <f t="shared" si="75"/>
        <v>200</v>
      </c>
      <c r="S227" s="584"/>
      <c r="T227" s="584"/>
      <c r="U227" s="585">
        <f t="shared" ref="U227:U241" si="91">IF(S227="",R227,ROUND(R227*S227/100,0))</f>
        <v>200</v>
      </c>
      <c r="V227" s="586">
        <f t="shared" si="76"/>
        <v>-86.12</v>
      </c>
      <c r="W227" s="477"/>
      <c r="X227" s="618">
        <f t="shared" si="88"/>
        <v>16858.330000000002</v>
      </c>
      <c r="Y227" s="618"/>
      <c r="Z227" s="617">
        <v>200</v>
      </c>
      <c r="AA227" s="361">
        <f t="shared" si="77"/>
        <v>170.94</v>
      </c>
      <c r="AB227" s="597"/>
      <c r="AC227" s="485">
        <f t="shared" si="78"/>
        <v>0</v>
      </c>
      <c r="AD227" s="597"/>
      <c r="AE227" s="485">
        <f t="shared" si="79"/>
        <v>0</v>
      </c>
      <c r="AF227" s="508">
        <f t="shared" si="80"/>
        <v>0</v>
      </c>
      <c r="AG227" s="508">
        <f t="shared" si="81"/>
        <v>0</v>
      </c>
      <c r="AH227" s="508">
        <f t="shared" si="82"/>
        <v>200</v>
      </c>
      <c r="AI227" s="508">
        <f t="shared" si="83"/>
        <v>0</v>
      </c>
      <c r="AJ227" s="508">
        <f t="shared" si="84"/>
        <v>29.06</v>
      </c>
      <c r="AK227" s="508">
        <f t="shared" si="85"/>
        <v>200</v>
      </c>
      <c r="AL227" s="116">
        <v>15</v>
      </c>
      <c r="AM227" s="486">
        <f t="shared" si="86"/>
        <v>14.76</v>
      </c>
      <c r="AN227" s="117">
        <f t="shared" si="90"/>
        <v>0</v>
      </c>
      <c r="AO227" s="487">
        <f t="shared" si="87"/>
        <v>0</v>
      </c>
      <c r="AP227" s="610"/>
    </row>
    <row r="228" spans="1:42" ht="14.25" customHeight="1">
      <c r="A228" s="701">
        <v>222</v>
      </c>
      <c r="B228" s="477"/>
      <c r="C228" s="477" t="s">
        <v>1526</v>
      </c>
      <c r="D228" s="477" t="s">
        <v>1300</v>
      </c>
      <c r="E228" s="475" t="s">
        <v>1453</v>
      </c>
      <c r="F228" s="611" t="s">
        <v>2039</v>
      </c>
      <c r="G228" s="579" t="s">
        <v>1923</v>
      </c>
      <c r="H228" s="482">
        <v>1</v>
      </c>
      <c r="I228" s="580">
        <v>40544</v>
      </c>
      <c r="J228" s="580">
        <v>37681</v>
      </c>
      <c r="K228" s="581">
        <v>16858.330000000002</v>
      </c>
      <c r="L228" s="581">
        <v>1440.88</v>
      </c>
      <c r="M228" s="582"/>
      <c r="N228" s="582"/>
      <c r="O228" s="582"/>
      <c r="P228" s="582">
        <f t="shared" si="73"/>
        <v>16858.330000000002</v>
      </c>
      <c r="Q228" s="582">
        <f t="shared" si="74"/>
        <v>1440.88</v>
      </c>
      <c r="R228" s="583">
        <f t="shared" si="75"/>
        <v>200</v>
      </c>
      <c r="S228" s="584"/>
      <c r="T228" s="584"/>
      <c r="U228" s="585">
        <f t="shared" si="91"/>
        <v>200</v>
      </c>
      <c r="V228" s="586">
        <f t="shared" si="76"/>
        <v>-86.12</v>
      </c>
      <c r="W228" s="477"/>
      <c r="X228" s="618">
        <f t="shared" si="88"/>
        <v>16858.330000000002</v>
      </c>
      <c r="Y228" s="618"/>
      <c r="Z228" s="617">
        <v>200</v>
      </c>
      <c r="AA228" s="361">
        <f t="shared" si="77"/>
        <v>170.94</v>
      </c>
      <c r="AB228" s="597"/>
      <c r="AC228" s="485">
        <f t="shared" si="78"/>
        <v>0</v>
      </c>
      <c r="AD228" s="597"/>
      <c r="AE228" s="485">
        <f t="shared" si="79"/>
        <v>0</v>
      </c>
      <c r="AF228" s="508">
        <f t="shared" si="80"/>
        <v>0</v>
      </c>
      <c r="AG228" s="508">
        <f t="shared" si="81"/>
        <v>0</v>
      </c>
      <c r="AH228" s="508">
        <f t="shared" si="82"/>
        <v>200</v>
      </c>
      <c r="AI228" s="508">
        <f t="shared" si="83"/>
        <v>0</v>
      </c>
      <c r="AJ228" s="508">
        <f t="shared" si="84"/>
        <v>29.06</v>
      </c>
      <c r="AK228" s="508">
        <f t="shared" si="85"/>
        <v>200</v>
      </c>
      <c r="AL228" s="116">
        <v>15</v>
      </c>
      <c r="AM228" s="486">
        <f t="shared" si="86"/>
        <v>14.76</v>
      </c>
      <c r="AN228" s="117">
        <f t="shared" si="90"/>
        <v>0</v>
      </c>
      <c r="AO228" s="487">
        <f t="shared" si="87"/>
        <v>0</v>
      </c>
      <c r="AP228" s="610"/>
    </row>
    <row r="229" spans="1:42" ht="14.25" customHeight="1">
      <c r="A229" s="701">
        <v>223</v>
      </c>
      <c r="B229" s="477"/>
      <c r="C229" s="477" t="s">
        <v>1526</v>
      </c>
      <c r="D229" s="477" t="s">
        <v>1300</v>
      </c>
      <c r="E229" s="475" t="s">
        <v>1453</v>
      </c>
      <c r="F229" s="611" t="s">
        <v>2039</v>
      </c>
      <c r="G229" s="579" t="s">
        <v>1923</v>
      </c>
      <c r="H229" s="482">
        <v>1</v>
      </c>
      <c r="I229" s="580">
        <v>40544</v>
      </c>
      <c r="J229" s="580">
        <v>37681</v>
      </c>
      <c r="K229" s="581">
        <v>16858.330000000002</v>
      </c>
      <c r="L229" s="581">
        <v>683.76</v>
      </c>
      <c r="M229" s="582"/>
      <c r="N229" s="582"/>
      <c r="O229" s="582"/>
      <c r="P229" s="582">
        <f t="shared" si="73"/>
        <v>16858.330000000002</v>
      </c>
      <c r="Q229" s="582">
        <f t="shared" si="74"/>
        <v>683.76</v>
      </c>
      <c r="R229" s="583">
        <f t="shared" si="75"/>
        <v>200</v>
      </c>
      <c r="S229" s="584"/>
      <c r="T229" s="584"/>
      <c r="U229" s="585">
        <f t="shared" si="91"/>
        <v>200</v>
      </c>
      <c r="V229" s="586">
        <f t="shared" si="76"/>
        <v>-70.75</v>
      </c>
      <c r="W229" s="477"/>
      <c r="X229" s="618">
        <f t="shared" si="88"/>
        <v>16858.330000000002</v>
      </c>
      <c r="Y229" s="618"/>
      <c r="Z229" s="617">
        <v>200</v>
      </c>
      <c r="AA229" s="361">
        <f t="shared" si="77"/>
        <v>170.94</v>
      </c>
      <c r="AB229" s="597"/>
      <c r="AC229" s="485">
        <f t="shared" si="78"/>
        <v>0</v>
      </c>
      <c r="AD229" s="597"/>
      <c r="AE229" s="485">
        <f t="shared" si="79"/>
        <v>0</v>
      </c>
      <c r="AF229" s="508">
        <f t="shared" si="80"/>
        <v>0</v>
      </c>
      <c r="AG229" s="508">
        <f t="shared" si="81"/>
        <v>0</v>
      </c>
      <c r="AH229" s="508">
        <f t="shared" si="82"/>
        <v>200</v>
      </c>
      <c r="AI229" s="508">
        <f t="shared" si="83"/>
        <v>0</v>
      </c>
      <c r="AJ229" s="508">
        <f t="shared" si="84"/>
        <v>29.06</v>
      </c>
      <c r="AK229" s="508">
        <f t="shared" si="85"/>
        <v>200</v>
      </c>
      <c r="AL229" s="116">
        <v>15</v>
      </c>
      <c r="AM229" s="486">
        <f t="shared" si="86"/>
        <v>14.76</v>
      </c>
      <c r="AN229" s="117">
        <f t="shared" si="90"/>
        <v>0</v>
      </c>
      <c r="AO229" s="487">
        <f t="shared" si="87"/>
        <v>0</v>
      </c>
      <c r="AP229" s="610"/>
    </row>
    <row r="230" spans="1:42" ht="14.25" customHeight="1">
      <c r="A230" s="701">
        <v>224</v>
      </c>
      <c r="B230" s="477"/>
      <c r="C230" s="477" t="s">
        <v>1527</v>
      </c>
      <c r="D230" s="477" t="s">
        <v>1299</v>
      </c>
      <c r="E230" s="475" t="s">
        <v>1453</v>
      </c>
      <c r="F230" s="611" t="s">
        <v>2039</v>
      </c>
      <c r="G230" s="579" t="s">
        <v>1923</v>
      </c>
      <c r="H230" s="482">
        <v>1</v>
      </c>
      <c r="I230" s="580">
        <v>40544</v>
      </c>
      <c r="J230" s="580">
        <v>37681</v>
      </c>
      <c r="K230" s="581">
        <v>18785</v>
      </c>
      <c r="L230" s="581">
        <v>1605.56</v>
      </c>
      <c r="M230" s="582"/>
      <c r="N230" s="582"/>
      <c r="O230" s="582"/>
      <c r="P230" s="582">
        <f t="shared" si="73"/>
        <v>18785</v>
      </c>
      <c r="Q230" s="582">
        <f t="shared" si="74"/>
        <v>1605.56</v>
      </c>
      <c r="R230" s="583">
        <f t="shared" si="75"/>
        <v>200</v>
      </c>
      <c r="S230" s="584"/>
      <c r="T230" s="584"/>
      <c r="U230" s="585">
        <f t="shared" si="91"/>
        <v>200</v>
      </c>
      <c r="V230" s="586">
        <f t="shared" si="76"/>
        <v>-87.54</v>
      </c>
      <c r="W230" s="477"/>
      <c r="X230" s="618">
        <f t="shared" si="88"/>
        <v>18785</v>
      </c>
      <c r="Y230" s="618"/>
      <c r="Z230" s="617">
        <v>200</v>
      </c>
      <c r="AA230" s="361">
        <f t="shared" si="77"/>
        <v>170.94</v>
      </c>
      <c r="AB230" s="597"/>
      <c r="AC230" s="485">
        <f t="shared" si="78"/>
        <v>0</v>
      </c>
      <c r="AD230" s="597"/>
      <c r="AE230" s="485">
        <f t="shared" si="79"/>
        <v>0</v>
      </c>
      <c r="AF230" s="508">
        <f t="shared" si="80"/>
        <v>0</v>
      </c>
      <c r="AG230" s="508">
        <f t="shared" si="81"/>
        <v>0</v>
      </c>
      <c r="AH230" s="508">
        <f t="shared" si="82"/>
        <v>200</v>
      </c>
      <c r="AI230" s="508">
        <f t="shared" si="83"/>
        <v>0</v>
      </c>
      <c r="AJ230" s="508">
        <f t="shared" si="84"/>
        <v>29.06</v>
      </c>
      <c r="AK230" s="508">
        <f t="shared" si="85"/>
        <v>200</v>
      </c>
      <c r="AL230" s="116">
        <v>15</v>
      </c>
      <c r="AM230" s="486">
        <f t="shared" si="86"/>
        <v>14.76</v>
      </c>
      <c r="AN230" s="117">
        <f t="shared" si="90"/>
        <v>0</v>
      </c>
      <c r="AO230" s="487">
        <f t="shared" si="87"/>
        <v>0</v>
      </c>
      <c r="AP230" s="610"/>
    </row>
    <row r="231" spans="1:42" ht="14.25" customHeight="1">
      <c r="A231" s="701">
        <v>225</v>
      </c>
      <c r="B231" s="477"/>
      <c r="C231" s="477" t="s">
        <v>1527</v>
      </c>
      <c r="D231" s="477" t="s">
        <v>1299</v>
      </c>
      <c r="E231" s="475" t="s">
        <v>1453</v>
      </c>
      <c r="F231" s="611" t="s">
        <v>2039</v>
      </c>
      <c r="G231" s="579" t="s">
        <v>1923</v>
      </c>
      <c r="H231" s="482">
        <v>1</v>
      </c>
      <c r="I231" s="580">
        <v>40544</v>
      </c>
      <c r="J231" s="580">
        <v>37681</v>
      </c>
      <c r="K231" s="581">
        <v>18785</v>
      </c>
      <c r="L231" s="581">
        <v>1961.54</v>
      </c>
      <c r="M231" s="582"/>
      <c r="N231" s="582"/>
      <c r="O231" s="582"/>
      <c r="P231" s="582">
        <f t="shared" si="73"/>
        <v>18785</v>
      </c>
      <c r="Q231" s="582">
        <f t="shared" si="74"/>
        <v>1961.54</v>
      </c>
      <c r="R231" s="583">
        <f t="shared" si="75"/>
        <v>200</v>
      </c>
      <c r="S231" s="584"/>
      <c r="T231" s="584"/>
      <c r="U231" s="585">
        <f t="shared" si="91"/>
        <v>200</v>
      </c>
      <c r="V231" s="586">
        <f t="shared" si="76"/>
        <v>-89.8</v>
      </c>
      <c r="W231" s="477"/>
      <c r="X231" s="618">
        <f t="shared" si="88"/>
        <v>18785</v>
      </c>
      <c r="Y231" s="618"/>
      <c r="Z231" s="617">
        <v>200</v>
      </c>
      <c r="AA231" s="361">
        <f t="shared" si="77"/>
        <v>170.94</v>
      </c>
      <c r="AB231" s="597"/>
      <c r="AC231" s="485">
        <f t="shared" si="78"/>
        <v>0</v>
      </c>
      <c r="AD231" s="597"/>
      <c r="AE231" s="485">
        <f t="shared" si="79"/>
        <v>0</v>
      </c>
      <c r="AF231" s="508">
        <f t="shared" si="80"/>
        <v>0</v>
      </c>
      <c r="AG231" s="508">
        <f t="shared" si="81"/>
        <v>0</v>
      </c>
      <c r="AH231" s="508">
        <f t="shared" si="82"/>
        <v>200</v>
      </c>
      <c r="AI231" s="508">
        <f t="shared" si="83"/>
        <v>0</v>
      </c>
      <c r="AJ231" s="508">
        <f t="shared" si="84"/>
        <v>29.06</v>
      </c>
      <c r="AK231" s="508">
        <f t="shared" si="85"/>
        <v>200</v>
      </c>
      <c r="AL231" s="116">
        <v>15</v>
      </c>
      <c r="AM231" s="486">
        <f t="shared" si="86"/>
        <v>14.76</v>
      </c>
      <c r="AN231" s="117">
        <f t="shared" si="90"/>
        <v>0</v>
      </c>
      <c r="AO231" s="487">
        <f t="shared" si="87"/>
        <v>0</v>
      </c>
      <c r="AP231" s="610"/>
    </row>
    <row r="232" spans="1:42" ht="14.25" customHeight="1">
      <c r="A232" s="701">
        <v>226</v>
      </c>
      <c r="B232" s="477"/>
      <c r="C232" s="477" t="s">
        <v>1530</v>
      </c>
      <c r="D232" s="477" t="s">
        <v>1301</v>
      </c>
      <c r="E232" s="475" t="s">
        <v>1453</v>
      </c>
      <c r="F232" s="611" t="s">
        <v>2039</v>
      </c>
      <c r="G232" s="579" t="s">
        <v>1923</v>
      </c>
      <c r="H232" s="482">
        <v>1</v>
      </c>
      <c r="I232" s="580">
        <v>40544</v>
      </c>
      <c r="J232" s="580">
        <v>37681</v>
      </c>
      <c r="K232" s="581">
        <v>22950</v>
      </c>
      <c r="L232" s="581">
        <v>1709.4</v>
      </c>
      <c r="M232" s="582"/>
      <c r="N232" s="582"/>
      <c r="O232" s="582"/>
      <c r="P232" s="582">
        <f t="shared" si="73"/>
        <v>22950</v>
      </c>
      <c r="Q232" s="582">
        <f t="shared" si="74"/>
        <v>1709.4</v>
      </c>
      <c r="R232" s="583">
        <f t="shared" si="75"/>
        <v>200</v>
      </c>
      <c r="S232" s="584"/>
      <c r="T232" s="584"/>
      <c r="U232" s="585">
        <f t="shared" si="91"/>
        <v>200</v>
      </c>
      <c r="V232" s="586">
        <f t="shared" si="76"/>
        <v>-88.3</v>
      </c>
      <c r="W232" s="477"/>
      <c r="X232" s="618">
        <f t="shared" si="88"/>
        <v>22950</v>
      </c>
      <c r="Y232" s="618"/>
      <c r="Z232" s="617">
        <v>200</v>
      </c>
      <c r="AA232" s="361">
        <f t="shared" si="77"/>
        <v>170.94</v>
      </c>
      <c r="AB232" s="597"/>
      <c r="AC232" s="485">
        <f t="shared" si="78"/>
        <v>0</v>
      </c>
      <c r="AD232" s="597"/>
      <c r="AE232" s="485">
        <f t="shared" si="79"/>
        <v>0</v>
      </c>
      <c r="AF232" s="508">
        <f t="shared" si="80"/>
        <v>0</v>
      </c>
      <c r="AG232" s="508">
        <f t="shared" si="81"/>
        <v>0</v>
      </c>
      <c r="AH232" s="508">
        <f t="shared" si="82"/>
        <v>200</v>
      </c>
      <c r="AI232" s="508">
        <f t="shared" si="83"/>
        <v>0</v>
      </c>
      <c r="AJ232" s="508">
        <f t="shared" si="84"/>
        <v>29.06</v>
      </c>
      <c r="AK232" s="508">
        <f t="shared" si="85"/>
        <v>200</v>
      </c>
      <c r="AL232" s="116">
        <v>15</v>
      </c>
      <c r="AM232" s="486">
        <f t="shared" si="86"/>
        <v>14.76</v>
      </c>
      <c r="AN232" s="117">
        <f t="shared" si="90"/>
        <v>0</v>
      </c>
      <c r="AO232" s="487">
        <f t="shared" si="87"/>
        <v>0</v>
      </c>
      <c r="AP232" s="610"/>
    </row>
    <row r="233" spans="1:42" ht="14.25" customHeight="1">
      <c r="A233" s="701">
        <v>227</v>
      </c>
      <c r="B233" s="477"/>
      <c r="C233" s="477" t="s">
        <v>1565</v>
      </c>
      <c r="D233" s="477" t="s">
        <v>1302</v>
      </c>
      <c r="E233" s="475" t="s">
        <v>1453</v>
      </c>
      <c r="F233" s="611" t="s">
        <v>2040</v>
      </c>
      <c r="G233" s="579" t="s">
        <v>1923</v>
      </c>
      <c r="H233" s="482">
        <v>1</v>
      </c>
      <c r="I233" s="580">
        <v>40544</v>
      </c>
      <c r="J233" s="580">
        <v>37681</v>
      </c>
      <c r="K233" s="581">
        <v>44746.2</v>
      </c>
      <c r="L233" s="581">
        <v>1709.4</v>
      </c>
      <c r="M233" s="582"/>
      <c r="N233" s="582"/>
      <c r="O233" s="582"/>
      <c r="P233" s="582">
        <f t="shared" si="73"/>
        <v>44746.2</v>
      </c>
      <c r="Q233" s="582">
        <f t="shared" si="74"/>
        <v>1709.4</v>
      </c>
      <c r="R233" s="583">
        <f t="shared" si="75"/>
        <v>200</v>
      </c>
      <c r="S233" s="584"/>
      <c r="T233" s="584"/>
      <c r="U233" s="585">
        <f t="shared" si="91"/>
        <v>200</v>
      </c>
      <c r="V233" s="586">
        <f t="shared" si="76"/>
        <v>-88.3</v>
      </c>
      <c r="W233" s="477"/>
      <c r="X233" s="618">
        <f t="shared" si="88"/>
        <v>44746.2</v>
      </c>
      <c r="Y233" s="618"/>
      <c r="Z233" s="617">
        <v>200</v>
      </c>
      <c r="AA233" s="361">
        <f t="shared" si="77"/>
        <v>170.94</v>
      </c>
      <c r="AB233" s="597"/>
      <c r="AC233" s="485">
        <f t="shared" si="78"/>
        <v>0</v>
      </c>
      <c r="AD233" s="597"/>
      <c r="AE233" s="485">
        <f t="shared" si="79"/>
        <v>0</v>
      </c>
      <c r="AF233" s="508">
        <f t="shared" si="80"/>
        <v>0</v>
      </c>
      <c r="AG233" s="508">
        <f t="shared" si="81"/>
        <v>0</v>
      </c>
      <c r="AH233" s="508">
        <f t="shared" si="82"/>
        <v>200</v>
      </c>
      <c r="AI233" s="508">
        <f t="shared" si="83"/>
        <v>0</v>
      </c>
      <c r="AJ233" s="508">
        <f t="shared" si="84"/>
        <v>29.06</v>
      </c>
      <c r="AK233" s="508">
        <f t="shared" si="85"/>
        <v>200</v>
      </c>
      <c r="AL233" s="116">
        <v>15</v>
      </c>
      <c r="AM233" s="486">
        <f t="shared" si="86"/>
        <v>14.76</v>
      </c>
      <c r="AN233" s="117">
        <f t="shared" si="90"/>
        <v>0</v>
      </c>
      <c r="AO233" s="487">
        <f t="shared" si="87"/>
        <v>0</v>
      </c>
      <c r="AP233" s="610"/>
    </row>
    <row r="234" spans="1:42" ht="14.25" customHeight="1">
      <c r="A234" s="701">
        <v>228</v>
      </c>
      <c r="B234" s="477"/>
      <c r="C234" s="477" t="s">
        <v>1565</v>
      </c>
      <c r="D234" s="477" t="s">
        <v>1302</v>
      </c>
      <c r="E234" s="475" t="s">
        <v>1453</v>
      </c>
      <c r="F234" s="611" t="s">
        <v>2040</v>
      </c>
      <c r="G234" s="579" t="s">
        <v>1923</v>
      </c>
      <c r="H234" s="482">
        <v>1</v>
      </c>
      <c r="I234" s="580">
        <v>40544</v>
      </c>
      <c r="J234" s="580">
        <v>37681</v>
      </c>
      <c r="K234" s="581">
        <v>44746.2</v>
      </c>
      <c r="L234" s="581">
        <v>1709.4</v>
      </c>
      <c r="M234" s="582"/>
      <c r="N234" s="582"/>
      <c r="O234" s="582"/>
      <c r="P234" s="582">
        <f t="shared" si="73"/>
        <v>44746.2</v>
      </c>
      <c r="Q234" s="582">
        <f t="shared" si="74"/>
        <v>1709.4</v>
      </c>
      <c r="R234" s="583">
        <f t="shared" si="75"/>
        <v>200</v>
      </c>
      <c r="S234" s="584"/>
      <c r="T234" s="584"/>
      <c r="U234" s="585">
        <f t="shared" si="91"/>
        <v>200</v>
      </c>
      <c r="V234" s="586">
        <f t="shared" si="76"/>
        <v>-88.3</v>
      </c>
      <c r="W234" s="477"/>
      <c r="X234" s="618">
        <f t="shared" si="88"/>
        <v>44746.2</v>
      </c>
      <c r="Y234" s="618"/>
      <c r="Z234" s="617">
        <v>200</v>
      </c>
      <c r="AA234" s="361">
        <f t="shared" si="77"/>
        <v>170.94</v>
      </c>
      <c r="AB234" s="597"/>
      <c r="AC234" s="485">
        <f t="shared" si="78"/>
        <v>0</v>
      </c>
      <c r="AD234" s="597"/>
      <c r="AE234" s="485">
        <f t="shared" si="79"/>
        <v>0</v>
      </c>
      <c r="AF234" s="508">
        <f t="shared" si="80"/>
        <v>0</v>
      </c>
      <c r="AG234" s="508">
        <f t="shared" si="81"/>
        <v>0</v>
      </c>
      <c r="AH234" s="508">
        <f t="shared" si="82"/>
        <v>200</v>
      </c>
      <c r="AI234" s="508">
        <f t="shared" si="83"/>
        <v>0</v>
      </c>
      <c r="AJ234" s="508">
        <f t="shared" si="84"/>
        <v>29.06</v>
      </c>
      <c r="AK234" s="508">
        <f t="shared" si="85"/>
        <v>200</v>
      </c>
      <c r="AL234" s="116">
        <v>15</v>
      </c>
      <c r="AM234" s="486">
        <f t="shared" si="86"/>
        <v>14.76</v>
      </c>
      <c r="AN234" s="117">
        <f t="shared" si="90"/>
        <v>0</v>
      </c>
      <c r="AO234" s="487">
        <f t="shared" si="87"/>
        <v>0</v>
      </c>
      <c r="AP234" s="610"/>
    </row>
    <row r="235" spans="1:42" ht="14.25" customHeight="1">
      <c r="A235" s="701">
        <v>229</v>
      </c>
      <c r="B235" s="477"/>
      <c r="C235" s="477" t="s">
        <v>1530</v>
      </c>
      <c r="D235" s="477" t="s">
        <v>1301</v>
      </c>
      <c r="E235" s="475" t="s">
        <v>1453</v>
      </c>
      <c r="F235" s="611" t="s">
        <v>2039</v>
      </c>
      <c r="G235" s="579" t="s">
        <v>1923</v>
      </c>
      <c r="H235" s="482">
        <v>1</v>
      </c>
      <c r="I235" s="580">
        <v>40544</v>
      </c>
      <c r="J235" s="580">
        <v>37681</v>
      </c>
      <c r="K235" s="581">
        <v>40768.76</v>
      </c>
      <c r="L235" s="581">
        <v>1709.4</v>
      </c>
      <c r="M235" s="582"/>
      <c r="N235" s="582"/>
      <c r="O235" s="582"/>
      <c r="P235" s="582">
        <f t="shared" si="73"/>
        <v>40768.76</v>
      </c>
      <c r="Q235" s="582">
        <f t="shared" si="74"/>
        <v>1709.4</v>
      </c>
      <c r="R235" s="583">
        <f t="shared" si="75"/>
        <v>200</v>
      </c>
      <c r="S235" s="584"/>
      <c r="T235" s="584"/>
      <c r="U235" s="585">
        <f t="shared" si="91"/>
        <v>200</v>
      </c>
      <c r="V235" s="586">
        <f t="shared" si="76"/>
        <v>-88.3</v>
      </c>
      <c r="W235" s="477"/>
      <c r="X235" s="618">
        <f t="shared" si="88"/>
        <v>40768.76</v>
      </c>
      <c r="Y235" s="618"/>
      <c r="Z235" s="617">
        <v>200</v>
      </c>
      <c r="AA235" s="361">
        <f t="shared" si="77"/>
        <v>170.94</v>
      </c>
      <c r="AB235" s="597"/>
      <c r="AC235" s="485">
        <f t="shared" si="78"/>
        <v>0</v>
      </c>
      <c r="AD235" s="597"/>
      <c r="AE235" s="485">
        <f t="shared" si="79"/>
        <v>0</v>
      </c>
      <c r="AF235" s="508">
        <f t="shared" si="80"/>
        <v>0</v>
      </c>
      <c r="AG235" s="508">
        <f t="shared" si="81"/>
        <v>0</v>
      </c>
      <c r="AH235" s="508">
        <f t="shared" si="82"/>
        <v>200</v>
      </c>
      <c r="AI235" s="508">
        <f t="shared" si="83"/>
        <v>0</v>
      </c>
      <c r="AJ235" s="508">
        <f t="shared" si="84"/>
        <v>29.06</v>
      </c>
      <c r="AK235" s="508">
        <f t="shared" si="85"/>
        <v>200</v>
      </c>
      <c r="AL235" s="116">
        <v>15</v>
      </c>
      <c r="AM235" s="486">
        <f t="shared" si="86"/>
        <v>14.76</v>
      </c>
      <c r="AN235" s="117">
        <f t="shared" si="90"/>
        <v>0</v>
      </c>
      <c r="AO235" s="487">
        <f t="shared" si="87"/>
        <v>0</v>
      </c>
      <c r="AP235" s="610"/>
    </row>
    <row r="236" spans="1:42" ht="14.25" customHeight="1">
      <c r="A236" s="701">
        <v>230</v>
      </c>
      <c r="B236" s="477"/>
      <c r="C236" s="477" t="s">
        <v>1527</v>
      </c>
      <c r="D236" s="477" t="s">
        <v>1303</v>
      </c>
      <c r="E236" s="475" t="s">
        <v>1453</v>
      </c>
      <c r="F236" s="611" t="s">
        <v>2039</v>
      </c>
      <c r="G236" s="579" t="s">
        <v>1923</v>
      </c>
      <c r="H236" s="482">
        <v>1</v>
      </c>
      <c r="I236" s="580">
        <v>40544</v>
      </c>
      <c r="J236" s="580">
        <v>37681</v>
      </c>
      <c r="K236" s="581">
        <v>39206.19</v>
      </c>
      <c r="L236" s="581">
        <v>1709.4</v>
      </c>
      <c r="M236" s="582"/>
      <c r="N236" s="582"/>
      <c r="O236" s="582"/>
      <c r="P236" s="582">
        <f t="shared" si="73"/>
        <v>39206.19</v>
      </c>
      <c r="Q236" s="582">
        <f t="shared" si="74"/>
        <v>1709.4</v>
      </c>
      <c r="R236" s="583">
        <f t="shared" si="75"/>
        <v>200</v>
      </c>
      <c r="S236" s="584"/>
      <c r="T236" s="584"/>
      <c r="U236" s="585">
        <f t="shared" si="91"/>
        <v>200</v>
      </c>
      <c r="V236" s="586">
        <f t="shared" si="76"/>
        <v>-88.3</v>
      </c>
      <c r="W236" s="477"/>
      <c r="X236" s="618">
        <f t="shared" si="88"/>
        <v>39206.19</v>
      </c>
      <c r="Y236" s="618"/>
      <c r="Z236" s="617">
        <v>200</v>
      </c>
      <c r="AA236" s="361">
        <f t="shared" si="77"/>
        <v>170.94</v>
      </c>
      <c r="AB236" s="597"/>
      <c r="AC236" s="485">
        <f t="shared" si="78"/>
        <v>0</v>
      </c>
      <c r="AD236" s="597"/>
      <c r="AE236" s="485">
        <f t="shared" si="79"/>
        <v>0</v>
      </c>
      <c r="AF236" s="508">
        <f t="shared" si="80"/>
        <v>0</v>
      </c>
      <c r="AG236" s="508">
        <f t="shared" si="81"/>
        <v>0</v>
      </c>
      <c r="AH236" s="508">
        <f t="shared" si="82"/>
        <v>200</v>
      </c>
      <c r="AI236" s="508">
        <f t="shared" si="83"/>
        <v>0</v>
      </c>
      <c r="AJ236" s="508">
        <f t="shared" si="84"/>
        <v>29.06</v>
      </c>
      <c r="AK236" s="508">
        <f t="shared" si="85"/>
        <v>200</v>
      </c>
      <c r="AL236" s="116">
        <v>15</v>
      </c>
      <c r="AM236" s="486">
        <f t="shared" si="86"/>
        <v>14.76</v>
      </c>
      <c r="AN236" s="117">
        <f t="shared" si="90"/>
        <v>0</v>
      </c>
      <c r="AO236" s="487">
        <f t="shared" si="87"/>
        <v>0</v>
      </c>
      <c r="AP236" s="610"/>
    </row>
    <row r="237" spans="1:42" ht="14.25" customHeight="1">
      <c r="A237" s="701">
        <v>231</v>
      </c>
      <c r="B237" s="477"/>
      <c r="C237" s="477" t="s">
        <v>1527</v>
      </c>
      <c r="D237" s="477" t="s">
        <v>1303</v>
      </c>
      <c r="E237" s="475" t="s">
        <v>1453</v>
      </c>
      <c r="F237" s="611" t="s">
        <v>2039</v>
      </c>
      <c r="G237" s="579" t="s">
        <v>1923</v>
      </c>
      <c r="H237" s="482">
        <v>1</v>
      </c>
      <c r="I237" s="580">
        <v>40544</v>
      </c>
      <c r="J237" s="580">
        <v>37681</v>
      </c>
      <c r="K237" s="581">
        <v>39206.19</v>
      </c>
      <c r="L237" s="581">
        <v>1709.4</v>
      </c>
      <c r="M237" s="582"/>
      <c r="N237" s="582"/>
      <c r="O237" s="582"/>
      <c r="P237" s="582">
        <f t="shared" si="73"/>
        <v>39206.19</v>
      </c>
      <c r="Q237" s="582">
        <f t="shared" si="74"/>
        <v>1709.4</v>
      </c>
      <c r="R237" s="583">
        <f t="shared" si="75"/>
        <v>200</v>
      </c>
      <c r="S237" s="584"/>
      <c r="T237" s="584"/>
      <c r="U237" s="585">
        <f t="shared" si="91"/>
        <v>200</v>
      </c>
      <c r="V237" s="586">
        <f t="shared" si="76"/>
        <v>-88.3</v>
      </c>
      <c r="W237" s="477"/>
      <c r="X237" s="618">
        <f t="shared" si="88"/>
        <v>39206.19</v>
      </c>
      <c r="Y237" s="618"/>
      <c r="Z237" s="617">
        <v>200</v>
      </c>
      <c r="AA237" s="361">
        <f t="shared" si="77"/>
        <v>170.94</v>
      </c>
      <c r="AB237" s="597"/>
      <c r="AC237" s="485">
        <f t="shared" si="78"/>
        <v>0</v>
      </c>
      <c r="AD237" s="597"/>
      <c r="AE237" s="485">
        <f t="shared" si="79"/>
        <v>0</v>
      </c>
      <c r="AF237" s="508">
        <f t="shared" si="80"/>
        <v>0</v>
      </c>
      <c r="AG237" s="508">
        <f t="shared" si="81"/>
        <v>0</v>
      </c>
      <c r="AH237" s="508">
        <f t="shared" si="82"/>
        <v>200</v>
      </c>
      <c r="AI237" s="508">
        <f t="shared" si="83"/>
        <v>0</v>
      </c>
      <c r="AJ237" s="508">
        <f t="shared" si="84"/>
        <v>29.06</v>
      </c>
      <c r="AK237" s="508">
        <f t="shared" si="85"/>
        <v>200</v>
      </c>
      <c r="AL237" s="116">
        <v>15</v>
      </c>
      <c r="AM237" s="486">
        <f t="shared" si="86"/>
        <v>14.76</v>
      </c>
      <c r="AN237" s="117">
        <f t="shared" si="90"/>
        <v>0</v>
      </c>
      <c r="AO237" s="487">
        <f t="shared" si="87"/>
        <v>0</v>
      </c>
      <c r="AP237" s="610"/>
    </row>
    <row r="238" spans="1:42" ht="14.25" customHeight="1">
      <c r="A238" s="701">
        <v>232</v>
      </c>
      <c r="B238" s="477"/>
      <c r="C238" s="477" t="s">
        <v>1526</v>
      </c>
      <c r="D238" s="477" t="s">
        <v>1301</v>
      </c>
      <c r="E238" s="475" t="s">
        <v>1453</v>
      </c>
      <c r="F238" s="611" t="s">
        <v>2039</v>
      </c>
      <c r="G238" s="579" t="s">
        <v>1923</v>
      </c>
      <c r="H238" s="482">
        <v>1</v>
      </c>
      <c r="I238" s="580">
        <v>40544</v>
      </c>
      <c r="J238" s="580">
        <v>37681</v>
      </c>
      <c r="K238" s="581">
        <v>40768.76</v>
      </c>
      <c r="L238" s="581">
        <v>1821.17</v>
      </c>
      <c r="M238" s="582"/>
      <c r="N238" s="582"/>
      <c r="O238" s="582"/>
      <c r="P238" s="582">
        <f t="shared" si="73"/>
        <v>40768.76</v>
      </c>
      <c r="Q238" s="582">
        <f t="shared" si="74"/>
        <v>1821.17</v>
      </c>
      <c r="R238" s="583">
        <f t="shared" si="75"/>
        <v>200</v>
      </c>
      <c r="S238" s="584"/>
      <c r="T238" s="584"/>
      <c r="U238" s="585">
        <f t="shared" si="91"/>
        <v>200</v>
      </c>
      <c r="V238" s="586">
        <f t="shared" si="76"/>
        <v>-89.02</v>
      </c>
      <c r="W238" s="477"/>
      <c r="X238" s="618">
        <f t="shared" si="88"/>
        <v>40768.76</v>
      </c>
      <c r="Y238" s="618"/>
      <c r="Z238" s="617">
        <v>200</v>
      </c>
      <c r="AA238" s="361">
        <f t="shared" si="77"/>
        <v>170.94</v>
      </c>
      <c r="AB238" s="597"/>
      <c r="AC238" s="485">
        <f t="shared" si="78"/>
        <v>0</v>
      </c>
      <c r="AD238" s="597"/>
      <c r="AE238" s="485">
        <f t="shared" si="79"/>
        <v>0</v>
      </c>
      <c r="AF238" s="508">
        <f t="shared" si="80"/>
        <v>0</v>
      </c>
      <c r="AG238" s="508">
        <f t="shared" si="81"/>
        <v>0</v>
      </c>
      <c r="AH238" s="508">
        <f t="shared" si="82"/>
        <v>200</v>
      </c>
      <c r="AI238" s="508">
        <f t="shared" si="83"/>
        <v>0</v>
      </c>
      <c r="AJ238" s="508">
        <f t="shared" si="84"/>
        <v>29.06</v>
      </c>
      <c r="AK238" s="508">
        <f t="shared" si="85"/>
        <v>200</v>
      </c>
      <c r="AL238" s="116">
        <v>15</v>
      </c>
      <c r="AM238" s="486">
        <f t="shared" si="86"/>
        <v>14.76</v>
      </c>
      <c r="AN238" s="117">
        <f t="shared" si="90"/>
        <v>0</v>
      </c>
      <c r="AO238" s="487">
        <f t="shared" si="87"/>
        <v>0</v>
      </c>
      <c r="AP238" s="610"/>
    </row>
    <row r="239" spans="1:42" ht="14.25" customHeight="1">
      <c r="A239" s="701">
        <v>233</v>
      </c>
      <c r="B239" s="477"/>
      <c r="C239" s="477" t="s">
        <v>1526</v>
      </c>
      <c r="D239" s="477" t="s">
        <v>1301</v>
      </c>
      <c r="E239" s="475" t="s">
        <v>1453</v>
      </c>
      <c r="F239" s="611" t="s">
        <v>2039</v>
      </c>
      <c r="G239" s="579" t="s">
        <v>1923</v>
      </c>
      <c r="H239" s="482">
        <v>1</v>
      </c>
      <c r="I239" s="580">
        <v>40544</v>
      </c>
      <c r="J239" s="580">
        <v>37681</v>
      </c>
      <c r="K239" s="581">
        <v>21307.71</v>
      </c>
      <c r="L239" s="581">
        <v>14063.07</v>
      </c>
      <c r="M239" s="582"/>
      <c r="N239" s="582"/>
      <c r="O239" s="582"/>
      <c r="P239" s="582">
        <f t="shared" si="73"/>
        <v>21307.71</v>
      </c>
      <c r="Q239" s="582">
        <f t="shared" si="74"/>
        <v>14063.07</v>
      </c>
      <c r="R239" s="583">
        <f t="shared" si="75"/>
        <v>200</v>
      </c>
      <c r="S239" s="584"/>
      <c r="T239" s="584"/>
      <c r="U239" s="585">
        <f t="shared" si="91"/>
        <v>200</v>
      </c>
      <c r="V239" s="586">
        <f t="shared" si="76"/>
        <v>-98.58</v>
      </c>
      <c r="W239" s="477"/>
      <c r="X239" s="618">
        <f t="shared" si="88"/>
        <v>21307.71</v>
      </c>
      <c r="Y239" s="618"/>
      <c r="Z239" s="617">
        <v>200</v>
      </c>
      <c r="AA239" s="361">
        <f t="shared" si="77"/>
        <v>170.94</v>
      </c>
      <c r="AB239" s="597"/>
      <c r="AC239" s="485">
        <f t="shared" si="78"/>
        <v>0</v>
      </c>
      <c r="AD239" s="597"/>
      <c r="AE239" s="485">
        <f t="shared" si="79"/>
        <v>0</v>
      </c>
      <c r="AF239" s="508">
        <f t="shared" si="80"/>
        <v>0</v>
      </c>
      <c r="AG239" s="508">
        <f t="shared" si="81"/>
        <v>0</v>
      </c>
      <c r="AH239" s="508">
        <f t="shared" si="82"/>
        <v>200</v>
      </c>
      <c r="AI239" s="508">
        <f t="shared" si="83"/>
        <v>0</v>
      </c>
      <c r="AJ239" s="508">
        <f t="shared" si="84"/>
        <v>29.06</v>
      </c>
      <c r="AK239" s="508">
        <f t="shared" si="85"/>
        <v>200</v>
      </c>
      <c r="AL239" s="116">
        <v>15</v>
      </c>
      <c r="AM239" s="486">
        <f t="shared" si="86"/>
        <v>14.76</v>
      </c>
      <c r="AN239" s="117">
        <f t="shared" si="90"/>
        <v>0</v>
      </c>
      <c r="AO239" s="487">
        <f t="shared" si="87"/>
        <v>0</v>
      </c>
      <c r="AP239" s="610"/>
    </row>
    <row r="240" spans="1:42" ht="14.25" customHeight="1">
      <c r="A240" s="701">
        <v>234</v>
      </c>
      <c r="B240" s="477"/>
      <c r="C240" s="477" t="s">
        <v>1531</v>
      </c>
      <c r="D240" s="477"/>
      <c r="E240" s="475" t="s">
        <v>1453</v>
      </c>
      <c r="F240" s="477"/>
      <c r="G240" s="579" t="s">
        <v>1968</v>
      </c>
      <c r="H240" s="482">
        <v>1</v>
      </c>
      <c r="I240" s="580">
        <v>40544</v>
      </c>
      <c r="J240" s="580">
        <v>37681</v>
      </c>
      <c r="K240" s="581">
        <v>168842.1</v>
      </c>
      <c r="L240" s="581">
        <v>49724.53</v>
      </c>
      <c r="M240" s="582"/>
      <c r="N240" s="582"/>
      <c r="O240" s="582"/>
      <c r="P240" s="582">
        <f t="shared" si="73"/>
        <v>168842.1</v>
      </c>
      <c r="Q240" s="582">
        <f t="shared" si="74"/>
        <v>49724.53</v>
      </c>
      <c r="R240" s="583">
        <f t="shared" si="75"/>
        <v>0</v>
      </c>
      <c r="S240" s="584"/>
      <c r="T240" s="584"/>
      <c r="U240" s="585">
        <f t="shared" si="91"/>
        <v>0</v>
      </c>
      <c r="V240" s="586">
        <f t="shared" si="76"/>
        <v>-100</v>
      </c>
      <c r="W240" s="611" t="s">
        <v>2080</v>
      </c>
      <c r="X240" s="618">
        <f t="shared" ref="X240:X271" si="92">P240/H240</f>
        <v>168842.1</v>
      </c>
      <c r="Y240" s="618"/>
      <c r="Z240" s="617">
        <v>0</v>
      </c>
      <c r="AA240" s="361">
        <f t="shared" si="77"/>
        <v>0</v>
      </c>
      <c r="AB240" s="597"/>
      <c r="AC240" s="485">
        <f t="shared" si="78"/>
        <v>0</v>
      </c>
      <c r="AD240" s="597"/>
      <c r="AE240" s="485">
        <f t="shared" si="79"/>
        <v>0</v>
      </c>
      <c r="AF240" s="508">
        <f t="shared" si="80"/>
        <v>0</v>
      </c>
      <c r="AG240" s="508">
        <f t="shared" si="81"/>
        <v>0</v>
      </c>
      <c r="AH240" s="508">
        <f t="shared" si="82"/>
        <v>0</v>
      </c>
      <c r="AI240" s="508">
        <f t="shared" si="83"/>
        <v>0</v>
      </c>
      <c r="AJ240" s="508">
        <f t="shared" si="84"/>
        <v>0</v>
      </c>
      <c r="AK240" s="508">
        <f t="shared" si="85"/>
        <v>0</v>
      </c>
      <c r="AM240" s="486">
        <f t="shared" si="86"/>
        <v>14.76</v>
      </c>
      <c r="AN240" s="117">
        <f t="shared" si="90"/>
        <v>-15</v>
      </c>
      <c r="AO240" s="487">
        <f t="shared" si="87"/>
        <v>6250</v>
      </c>
      <c r="AP240" s="610"/>
    </row>
    <row r="241" spans="1:42" ht="14.25" customHeight="1">
      <c r="A241" s="701">
        <v>235</v>
      </c>
      <c r="B241" s="477"/>
      <c r="C241" s="611" t="s">
        <v>2311</v>
      </c>
      <c r="D241" s="477"/>
      <c r="E241" s="475" t="s">
        <v>1453</v>
      </c>
      <c r="F241" s="477"/>
      <c r="G241" s="579" t="s">
        <v>1963</v>
      </c>
      <c r="H241" s="482">
        <v>1</v>
      </c>
      <c r="I241" s="580">
        <v>40544</v>
      </c>
      <c r="J241" s="580">
        <v>37681</v>
      </c>
      <c r="K241" s="581">
        <v>3207979.3</v>
      </c>
      <c r="L241" s="581">
        <v>1615.81</v>
      </c>
      <c r="M241" s="582"/>
      <c r="N241" s="582"/>
      <c r="O241" s="582"/>
      <c r="P241" s="582">
        <f t="shared" si="73"/>
        <v>3207979.3</v>
      </c>
      <c r="Q241" s="582">
        <f t="shared" si="74"/>
        <v>1615.81</v>
      </c>
      <c r="R241" s="583">
        <f t="shared" si="75"/>
        <v>0</v>
      </c>
      <c r="S241" s="584"/>
      <c r="T241" s="584"/>
      <c r="U241" s="585">
        <f t="shared" si="91"/>
        <v>0</v>
      </c>
      <c r="V241" s="586">
        <f t="shared" si="76"/>
        <v>-100</v>
      </c>
      <c r="W241" s="611" t="s">
        <v>2079</v>
      </c>
      <c r="X241" s="618">
        <f t="shared" si="92"/>
        <v>3207979.3</v>
      </c>
      <c r="Y241" s="618"/>
      <c r="Z241" s="617">
        <v>0</v>
      </c>
      <c r="AA241" s="361">
        <f t="shared" si="77"/>
        <v>0</v>
      </c>
      <c r="AB241" s="597"/>
      <c r="AC241" s="485">
        <f t="shared" si="78"/>
        <v>0</v>
      </c>
      <c r="AD241" s="597"/>
      <c r="AE241" s="485">
        <f t="shared" si="79"/>
        <v>0</v>
      </c>
      <c r="AF241" s="508">
        <f t="shared" si="80"/>
        <v>0</v>
      </c>
      <c r="AG241" s="508">
        <f t="shared" si="81"/>
        <v>0</v>
      </c>
      <c r="AH241" s="508">
        <f t="shared" si="82"/>
        <v>0</v>
      </c>
      <c r="AI241" s="508">
        <f t="shared" si="83"/>
        <v>0</v>
      </c>
      <c r="AJ241" s="508">
        <f t="shared" si="84"/>
        <v>0</v>
      </c>
      <c r="AK241" s="508">
        <f t="shared" si="85"/>
        <v>0</v>
      </c>
      <c r="AM241" s="486">
        <f t="shared" si="86"/>
        <v>14.76</v>
      </c>
      <c r="AN241" s="117">
        <f t="shared" si="90"/>
        <v>-15</v>
      </c>
      <c r="AO241" s="487">
        <f t="shared" si="87"/>
        <v>6250</v>
      </c>
      <c r="AP241" s="610"/>
    </row>
    <row r="242" spans="1:42" ht="14.25" customHeight="1">
      <c r="A242" s="701">
        <v>236</v>
      </c>
      <c r="B242" s="477"/>
      <c r="C242" s="477" t="s">
        <v>1761</v>
      </c>
      <c r="D242" s="477"/>
      <c r="E242" s="475" t="s">
        <v>1453</v>
      </c>
      <c r="F242" s="477"/>
      <c r="G242" s="482" t="s">
        <v>1943</v>
      </c>
      <c r="H242" s="482">
        <v>1</v>
      </c>
      <c r="I242" s="580">
        <v>40544</v>
      </c>
      <c r="J242" s="580">
        <v>37681</v>
      </c>
      <c r="K242" s="581">
        <v>18905</v>
      </c>
      <c r="L242" s="581">
        <v>1965.81</v>
      </c>
      <c r="M242" s="582"/>
      <c r="N242" s="582"/>
      <c r="O242" s="582"/>
      <c r="P242" s="582">
        <f t="shared" si="73"/>
        <v>18905</v>
      </c>
      <c r="Q242" s="582">
        <f t="shared" si="74"/>
        <v>1965.81</v>
      </c>
      <c r="R242" s="583">
        <f t="shared" si="75"/>
        <v>0</v>
      </c>
      <c r="S242" s="584"/>
      <c r="T242" s="584"/>
      <c r="U242" s="585">
        <f t="shared" ref="U242:U248" si="93">ROUND(R242*(1-T242/100),0)</f>
        <v>0</v>
      </c>
      <c r="V242" s="586">
        <f t="shared" si="76"/>
        <v>-100</v>
      </c>
      <c r="W242" s="611" t="s">
        <v>2074</v>
      </c>
      <c r="X242" s="618">
        <f t="shared" si="92"/>
        <v>18905</v>
      </c>
      <c r="Y242" s="618"/>
      <c r="Z242" s="617">
        <v>0</v>
      </c>
      <c r="AA242" s="361">
        <f t="shared" si="77"/>
        <v>0</v>
      </c>
      <c r="AB242" s="597"/>
      <c r="AC242" s="485">
        <f t="shared" si="78"/>
        <v>0</v>
      </c>
      <c r="AD242" s="597"/>
      <c r="AE242" s="485">
        <f t="shared" si="79"/>
        <v>0</v>
      </c>
      <c r="AF242" s="508">
        <f t="shared" si="80"/>
        <v>0</v>
      </c>
      <c r="AG242" s="508">
        <f t="shared" si="81"/>
        <v>0</v>
      </c>
      <c r="AH242" s="508">
        <f t="shared" si="82"/>
        <v>0</v>
      </c>
      <c r="AI242" s="508">
        <f t="shared" si="83"/>
        <v>0</v>
      </c>
      <c r="AJ242" s="508">
        <f t="shared" si="84"/>
        <v>0</v>
      </c>
      <c r="AK242" s="508">
        <f t="shared" si="85"/>
        <v>0</v>
      </c>
      <c r="AM242" s="486">
        <f t="shared" si="86"/>
        <v>14.76</v>
      </c>
      <c r="AN242" s="117">
        <f t="shared" si="90"/>
        <v>-15</v>
      </c>
      <c r="AO242" s="487">
        <f t="shared" si="87"/>
        <v>6250</v>
      </c>
      <c r="AP242" s="610"/>
    </row>
    <row r="243" spans="1:42" ht="14.25" customHeight="1">
      <c r="A243" s="701">
        <v>237</v>
      </c>
      <c r="B243" s="477"/>
      <c r="C243" s="477" t="s">
        <v>1570</v>
      </c>
      <c r="D243" s="477"/>
      <c r="E243" s="475" t="s">
        <v>1453</v>
      </c>
      <c r="F243" s="477"/>
      <c r="G243" s="482" t="s">
        <v>1943</v>
      </c>
      <c r="H243" s="482">
        <v>1</v>
      </c>
      <c r="I243" s="580">
        <v>40544</v>
      </c>
      <c r="J243" s="580">
        <v>37681</v>
      </c>
      <c r="K243" s="581">
        <v>18000</v>
      </c>
      <c r="L243" s="581">
        <v>3247.86</v>
      </c>
      <c r="M243" s="582"/>
      <c r="N243" s="582"/>
      <c r="O243" s="582"/>
      <c r="P243" s="582">
        <f t="shared" si="73"/>
        <v>18000</v>
      </c>
      <c r="Q243" s="582">
        <f t="shared" si="74"/>
        <v>3247.86</v>
      </c>
      <c r="R243" s="583">
        <f t="shared" si="75"/>
        <v>200</v>
      </c>
      <c r="S243" s="584"/>
      <c r="T243" s="584">
        <v>3</v>
      </c>
      <c r="U243" s="585">
        <f t="shared" si="93"/>
        <v>194</v>
      </c>
      <c r="V243" s="586">
        <f t="shared" si="76"/>
        <v>-94.03</v>
      </c>
      <c r="W243" s="611" t="s">
        <v>2076</v>
      </c>
      <c r="X243" s="618">
        <f t="shared" si="92"/>
        <v>18000</v>
      </c>
      <c r="Y243" s="618"/>
      <c r="Z243" s="617">
        <v>200</v>
      </c>
      <c r="AA243" s="361">
        <f t="shared" si="77"/>
        <v>170.94</v>
      </c>
      <c r="AB243" s="597"/>
      <c r="AC243" s="485">
        <f t="shared" si="78"/>
        <v>0</v>
      </c>
      <c r="AD243" s="597"/>
      <c r="AE243" s="485">
        <f t="shared" si="79"/>
        <v>0</v>
      </c>
      <c r="AF243" s="508">
        <f t="shared" si="80"/>
        <v>0</v>
      </c>
      <c r="AG243" s="508">
        <f t="shared" si="81"/>
        <v>0</v>
      </c>
      <c r="AH243" s="508">
        <f t="shared" si="82"/>
        <v>200</v>
      </c>
      <c r="AI243" s="508">
        <f t="shared" si="83"/>
        <v>0</v>
      </c>
      <c r="AJ243" s="508">
        <f t="shared" si="84"/>
        <v>29.06</v>
      </c>
      <c r="AK243" s="508">
        <f t="shared" si="85"/>
        <v>200</v>
      </c>
      <c r="AL243" s="116">
        <v>8</v>
      </c>
      <c r="AM243" s="486">
        <f t="shared" si="86"/>
        <v>14.76</v>
      </c>
      <c r="AN243" s="117">
        <f t="shared" si="90"/>
        <v>-7</v>
      </c>
      <c r="AO243" s="487">
        <f t="shared" si="87"/>
        <v>-90</v>
      </c>
      <c r="AP243" s="610"/>
    </row>
    <row r="244" spans="1:42" ht="14.25" customHeight="1">
      <c r="A244" s="701">
        <v>238</v>
      </c>
      <c r="B244" s="477"/>
      <c r="C244" s="477" t="s">
        <v>1666</v>
      </c>
      <c r="D244" s="477">
        <v>3650</v>
      </c>
      <c r="E244" s="475" t="s">
        <v>1453</v>
      </c>
      <c r="F244" s="477"/>
      <c r="G244" s="579" t="s">
        <v>1965</v>
      </c>
      <c r="H244" s="482">
        <v>1</v>
      </c>
      <c r="I244" s="580">
        <v>40544</v>
      </c>
      <c r="J244" s="580">
        <v>37681</v>
      </c>
      <c r="K244" s="581">
        <v>63040</v>
      </c>
      <c r="L244" s="581">
        <v>177.78</v>
      </c>
      <c r="M244" s="582"/>
      <c r="N244" s="582"/>
      <c r="O244" s="582"/>
      <c r="P244" s="582">
        <f t="shared" si="73"/>
        <v>63040</v>
      </c>
      <c r="Q244" s="582">
        <f t="shared" si="74"/>
        <v>177.78</v>
      </c>
      <c r="R244" s="583">
        <f t="shared" si="75"/>
        <v>0</v>
      </c>
      <c r="S244" s="584"/>
      <c r="T244" s="584"/>
      <c r="U244" s="585">
        <f t="shared" si="93"/>
        <v>0</v>
      </c>
      <c r="V244" s="586">
        <f t="shared" si="76"/>
        <v>-100</v>
      </c>
      <c r="W244" s="611" t="s">
        <v>2074</v>
      </c>
      <c r="X244" s="618">
        <f t="shared" si="92"/>
        <v>63040</v>
      </c>
      <c r="Y244" s="618"/>
      <c r="Z244" s="617">
        <v>0</v>
      </c>
      <c r="AA244" s="361">
        <f t="shared" si="77"/>
        <v>0</v>
      </c>
      <c r="AB244" s="597"/>
      <c r="AC244" s="485">
        <f t="shared" si="78"/>
        <v>0</v>
      </c>
      <c r="AD244" s="597"/>
      <c r="AE244" s="485">
        <f t="shared" si="79"/>
        <v>0</v>
      </c>
      <c r="AF244" s="508">
        <f t="shared" si="80"/>
        <v>0</v>
      </c>
      <c r="AG244" s="508">
        <f t="shared" si="81"/>
        <v>0</v>
      </c>
      <c r="AH244" s="508">
        <f t="shared" si="82"/>
        <v>0</v>
      </c>
      <c r="AI244" s="508">
        <f t="shared" si="83"/>
        <v>0</v>
      </c>
      <c r="AJ244" s="508">
        <f t="shared" si="84"/>
        <v>0</v>
      </c>
      <c r="AK244" s="508">
        <f t="shared" si="85"/>
        <v>0</v>
      </c>
      <c r="AL244" s="116">
        <v>6</v>
      </c>
      <c r="AM244" s="486">
        <f t="shared" si="86"/>
        <v>14.76</v>
      </c>
      <c r="AN244" s="117">
        <f t="shared" si="90"/>
        <v>-9</v>
      </c>
      <c r="AO244" s="487">
        <f t="shared" si="87"/>
        <v>-156</v>
      </c>
      <c r="AP244" s="610"/>
    </row>
    <row r="245" spans="1:42" ht="14.25" customHeight="1">
      <c r="A245" s="701">
        <v>239</v>
      </c>
      <c r="B245" s="477"/>
      <c r="C245" s="477" t="s">
        <v>1510</v>
      </c>
      <c r="D245" s="477" t="s">
        <v>1304</v>
      </c>
      <c r="E245" s="475" t="s">
        <v>1453</v>
      </c>
      <c r="F245" s="477"/>
      <c r="G245" s="482" t="s">
        <v>1943</v>
      </c>
      <c r="H245" s="482">
        <v>1</v>
      </c>
      <c r="I245" s="580">
        <v>40544</v>
      </c>
      <c r="J245" s="580">
        <v>37681</v>
      </c>
      <c r="K245" s="581">
        <v>2080</v>
      </c>
      <c r="L245" s="581">
        <v>0</v>
      </c>
      <c r="M245" s="582"/>
      <c r="N245" s="582"/>
      <c r="O245" s="582"/>
      <c r="P245" s="582">
        <f t="shared" si="73"/>
        <v>2080</v>
      </c>
      <c r="Q245" s="582">
        <f t="shared" si="74"/>
        <v>0</v>
      </c>
      <c r="R245" s="583">
        <f t="shared" si="75"/>
        <v>0</v>
      </c>
      <c r="S245" s="584"/>
      <c r="T245" s="584"/>
      <c r="U245" s="585">
        <f t="shared" si="93"/>
        <v>0</v>
      </c>
      <c r="V245" s="586" t="str">
        <f t="shared" si="76"/>
        <v/>
      </c>
      <c r="W245" s="611" t="s">
        <v>2074</v>
      </c>
      <c r="X245" s="618">
        <f t="shared" si="92"/>
        <v>2080</v>
      </c>
      <c r="Y245" s="618"/>
      <c r="Z245" s="617">
        <v>0</v>
      </c>
      <c r="AA245" s="361">
        <f t="shared" si="77"/>
        <v>0</v>
      </c>
      <c r="AB245" s="597"/>
      <c r="AC245" s="485">
        <f t="shared" si="78"/>
        <v>0</v>
      </c>
      <c r="AD245" s="597"/>
      <c r="AE245" s="485">
        <f t="shared" si="79"/>
        <v>0</v>
      </c>
      <c r="AF245" s="508">
        <f t="shared" si="80"/>
        <v>0</v>
      </c>
      <c r="AG245" s="508">
        <f t="shared" si="81"/>
        <v>0</v>
      </c>
      <c r="AH245" s="508">
        <f t="shared" si="82"/>
        <v>0</v>
      </c>
      <c r="AI245" s="508">
        <f t="shared" si="83"/>
        <v>0</v>
      </c>
      <c r="AJ245" s="508">
        <f t="shared" si="84"/>
        <v>0</v>
      </c>
      <c r="AK245" s="508">
        <f t="shared" si="85"/>
        <v>0</v>
      </c>
      <c r="AL245" s="116">
        <v>10</v>
      </c>
      <c r="AM245" s="486">
        <f t="shared" si="86"/>
        <v>14.76</v>
      </c>
      <c r="AN245" s="117">
        <f t="shared" si="90"/>
        <v>-5</v>
      </c>
      <c r="AO245" s="487">
        <f t="shared" si="87"/>
        <v>-51</v>
      </c>
      <c r="AP245" s="610"/>
    </row>
    <row r="246" spans="1:42" ht="14.25" customHeight="1">
      <c r="A246" s="701">
        <v>240</v>
      </c>
      <c r="B246" s="477"/>
      <c r="C246" s="477" t="s">
        <v>1542</v>
      </c>
      <c r="D246" s="477" t="s">
        <v>1305</v>
      </c>
      <c r="E246" s="475" t="s">
        <v>1453</v>
      </c>
      <c r="F246" s="477"/>
      <c r="G246" s="482" t="s">
        <v>1943</v>
      </c>
      <c r="H246" s="482">
        <v>1</v>
      </c>
      <c r="I246" s="580">
        <v>40544</v>
      </c>
      <c r="J246" s="580">
        <v>37681</v>
      </c>
      <c r="K246" s="581">
        <v>6480</v>
      </c>
      <c r="L246" s="581">
        <v>0</v>
      </c>
      <c r="M246" s="582"/>
      <c r="N246" s="582"/>
      <c r="O246" s="582"/>
      <c r="P246" s="582">
        <f t="shared" si="73"/>
        <v>6480</v>
      </c>
      <c r="Q246" s="582">
        <f t="shared" si="74"/>
        <v>0</v>
      </c>
      <c r="R246" s="583">
        <f t="shared" si="75"/>
        <v>0</v>
      </c>
      <c r="S246" s="584"/>
      <c r="T246" s="584"/>
      <c r="U246" s="585">
        <f t="shared" si="93"/>
        <v>0</v>
      </c>
      <c r="V246" s="586" t="str">
        <f t="shared" si="76"/>
        <v/>
      </c>
      <c r="W246" s="611" t="s">
        <v>2074</v>
      </c>
      <c r="X246" s="618">
        <f t="shared" si="92"/>
        <v>6480</v>
      </c>
      <c r="Y246" s="618"/>
      <c r="Z246" s="617">
        <v>0</v>
      </c>
      <c r="AA246" s="361">
        <f t="shared" si="77"/>
        <v>0</v>
      </c>
      <c r="AB246" s="597"/>
      <c r="AC246" s="485">
        <f t="shared" si="78"/>
        <v>0</v>
      </c>
      <c r="AD246" s="597"/>
      <c r="AE246" s="485">
        <f t="shared" si="79"/>
        <v>0</v>
      </c>
      <c r="AF246" s="508">
        <f t="shared" si="80"/>
        <v>0</v>
      </c>
      <c r="AG246" s="508">
        <f t="shared" si="81"/>
        <v>0</v>
      </c>
      <c r="AH246" s="508">
        <f t="shared" si="82"/>
        <v>0</v>
      </c>
      <c r="AI246" s="508">
        <f t="shared" si="83"/>
        <v>0</v>
      </c>
      <c r="AJ246" s="508">
        <f t="shared" si="84"/>
        <v>0</v>
      </c>
      <c r="AK246" s="508">
        <f t="shared" si="85"/>
        <v>0</v>
      </c>
      <c r="AL246" s="116">
        <v>6</v>
      </c>
      <c r="AM246" s="486">
        <f t="shared" si="86"/>
        <v>14.76</v>
      </c>
      <c r="AN246" s="117">
        <f t="shared" si="90"/>
        <v>-9</v>
      </c>
      <c r="AO246" s="487">
        <f t="shared" si="87"/>
        <v>-156</v>
      </c>
      <c r="AP246" s="610"/>
    </row>
    <row r="247" spans="1:42" ht="14.25" customHeight="1">
      <c r="A247" s="701">
        <v>241</v>
      </c>
      <c r="B247" s="477"/>
      <c r="C247" s="477" t="s">
        <v>1783</v>
      </c>
      <c r="D247" s="477" t="s">
        <v>1306</v>
      </c>
      <c r="E247" s="475" t="s">
        <v>1453</v>
      </c>
      <c r="F247" s="477"/>
      <c r="G247" s="482" t="s">
        <v>1943</v>
      </c>
      <c r="H247" s="482">
        <v>1</v>
      </c>
      <c r="I247" s="580">
        <v>40544</v>
      </c>
      <c r="J247" s="580">
        <v>37681</v>
      </c>
      <c r="K247" s="581">
        <v>7200</v>
      </c>
      <c r="L247" s="581">
        <v>720</v>
      </c>
      <c r="M247" s="582"/>
      <c r="N247" s="582"/>
      <c r="O247" s="582"/>
      <c r="P247" s="582">
        <f t="shared" si="73"/>
        <v>7200</v>
      </c>
      <c r="Q247" s="582">
        <f t="shared" si="74"/>
        <v>720</v>
      </c>
      <c r="R247" s="583">
        <f t="shared" si="75"/>
        <v>100</v>
      </c>
      <c r="S247" s="584"/>
      <c r="T247" s="584">
        <v>3</v>
      </c>
      <c r="U247" s="585">
        <f t="shared" si="93"/>
        <v>97</v>
      </c>
      <c r="V247" s="586">
        <f t="shared" si="76"/>
        <v>-86.53</v>
      </c>
      <c r="W247" s="611" t="s">
        <v>2074</v>
      </c>
      <c r="X247" s="618">
        <f t="shared" si="92"/>
        <v>7200</v>
      </c>
      <c r="Y247" s="618"/>
      <c r="Z247" s="617">
        <v>100</v>
      </c>
      <c r="AA247" s="361">
        <f t="shared" si="77"/>
        <v>85.47</v>
      </c>
      <c r="AB247" s="597"/>
      <c r="AC247" s="485">
        <f t="shared" si="78"/>
        <v>0</v>
      </c>
      <c r="AD247" s="597"/>
      <c r="AE247" s="485">
        <f t="shared" si="79"/>
        <v>0</v>
      </c>
      <c r="AF247" s="508">
        <f t="shared" si="80"/>
        <v>0</v>
      </c>
      <c r="AG247" s="508">
        <f t="shared" si="81"/>
        <v>0</v>
      </c>
      <c r="AH247" s="508">
        <f t="shared" si="82"/>
        <v>100</v>
      </c>
      <c r="AI247" s="508">
        <f t="shared" si="83"/>
        <v>0</v>
      </c>
      <c r="AJ247" s="508">
        <f t="shared" si="84"/>
        <v>14.53</v>
      </c>
      <c r="AK247" s="508">
        <f t="shared" si="85"/>
        <v>100</v>
      </c>
      <c r="AM247" s="486">
        <f t="shared" si="86"/>
        <v>14.76</v>
      </c>
      <c r="AN247" s="117">
        <f t="shared" si="90"/>
        <v>-15</v>
      </c>
      <c r="AO247" s="487">
        <f t="shared" si="87"/>
        <v>6250</v>
      </c>
      <c r="AP247" s="610"/>
    </row>
    <row r="248" spans="1:42" ht="14.25" customHeight="1">
      <c r="A248" s="701">
        <v>242</v>
      </c>
      <c r="B248" s="477"/>
      <c r="C248" s="477" t="s">
        <v>1640</v>
      </c>
      <c r="D248" s="477" t="s">
        <v>1307</v>
      </c>
      <c r="E248" s="475" t="s">
        <v>1453</v>
      </c>
      <c r="F248" s="477"/>
      <c r="G248" s="482" t="s">
        <v>1943</v>
      </c>
      <c r="H248" s="482">
        <v>1</v>
      </c>
      <c r="I248" s="580">
        <v>40544</v>
      </c>
      <c r="J248" s="580">
        <v>37681</v>
      </c>
      <c r="K248" s="581">
        <v>7280</v>
      </c>
      <c r="L248" s="581">
        <v>728</v>
      </c>
      <c r="M248" s="582"/>
      <c r="N248" s="582"/>
      <c r="O248" s="582"/>
      <c r="P248" s="582">
        <f t="shared" si="73"/>
        <v>7280</v>
      </c>
      <c r="Q248" s="582">
        <f t="shared" si="74"/>
        <v>728</v>
      </c>
      <c r="R248" s="583">
        <f t="shared" si="75"/>
        <v>0</v>
      </c>
      <c r="S248" s="584"/>
      <c r="T248" s="584"/>
      <c r="U248" s="585">
        <f t="shared" si="93"/>
        <v>0</v>
      </c>
      <c r="V248" s="586">
        <f t="shared" si="76"/>
        <v>-100</v>
      </c>
      <c r="W248" s="611" t="s">
        <v>2074</v>
      </c>
      <c r="X248" s="618">
        <f t="shared" si="92"/>
        <v>7280</v>
      </c>
      <c r="Y248" s="618"/>
      <c r="Z248" s="617">
        <v>0</v>
      </c>
      <c r="AA248" s="361">
        <f t="shared" si="77"/>
        <v>0</v>
      </c>
      <c r="AB248" s="597"/>
      <c r="AC248" s="485">
        <f t="shared" si="78"/>
        <v>0</v>
      </c>
      <c r="AD248" s="597"/>
      <c r="AE248" s="485">
        <f t="shared" si="79"/>
        <v>0</v>
      </c>
      <c r="AF248" s="508">
        <f t="shared" si="80"/>
        <v>0</v>
      </c>
      <c r="AG248" s="508">
        <f t="shared" si="81"/>
        <v>0</v>
      </c>
      <c r="AH248" s="508">
        <f t="shared" si="82"/>
        <v>0</v>
      </c>
      <c r="AI248" s="508">
        <f t="shared" si="83"/>
        <v>0</v>
      </c>
      <c r="AJ248" s="508">
        <f t="shared" si="84"/>
        <v>0</v>
      </c>
      <c r="AK248" s="508">
        <f t="shared" si="85"/>
        <v>0</v>
      </c>
      <c r="AM248" s="486">
        <f t="shared" si="86"/>
        <v>14.76</v>
      </c>
      <c r="AN248" s="117">
        <f t="shared" si="90"/>
        <v>-15</v>
      </c>
      <c r="AO248" s="487">
        <f t="shared" si="87"/>
        <v>6250</v>
      </c>
      <c r="AP248" s="610"/>
    </row>
    <row r="249" spans="1:42" ht="14.25" customHeight="1">
      <c r="A249" s="701">
        <v>243</v>
      </c>
      <c r="B249" s="477"/>
      <c r="C249" s="611" t="s">
        <v>2038</v>
      </c>
      <c r="D249" s="477" t="s">
        <v>1308</v>
      </c>
      <c r="E249" s="475" t="s">
        <v>1453</v>
      </c>
      <c r="F249" s="477"/>
      <c r="G249" s="482" t="s">
        <v>1943</v>
      </c>
      <c r="H249" s="482">
        <v>1</v>
      </c>
      <c r="I249" s="580">
        <v>40544</v>
      </c>
      <c r="J249" s="580">
        <v>37681</v>
      </c>
      <c r="K249" s="581">
        <v>18720</v>
      </c>
      <c r="L249" s="581">
        <v>0</v>
      </c>
      <c r="M249" s="582"/>
      <c r="N249" s="582"/>
      <c r="O249" s="582"/>
      <c r="P249" s="582">
        <f t="shared" si="73"/>
        <v>18720</v>
      </c>
      <c r="Q249" s="582">
        <f t="shared" si="74"/>
        <v>0</v>
      </c>
      <c r="R249" s="583">
        <f t="shared" si="75"/>
        <v>0</v>
      </c>
      <c r="S249" s="584"/>
      <c r="T249" s="584"/>
      <c r="U249" s="585">
        <f>IF(S249="",R249,ROUND(R249*S249/100,0))</f>
        <v>0</v>
      </c>
      <c r="V249" s="586" t="str">
        <f t="shared" si="76"/>
        <v/>
      </c>
      <c r="W249" s="611" t="s">
        <v>2074</v>
      </c>
      <c r="X249" s="618">
        <f t="shared" si="92"/>
        <v>18720</v>
      </c>
      <c r="Y249" s="618"/>
      <c r="Z249" s="617">
        <v>0</v>
      </c>
      <c r="AA249" s="361">
        <f t="shared" si="77"/>
        <v>0</v>
      </c>
      <c r="AB249" s="597"/>
      <c r="AC249" s="485">
        <f t="shared" si="78"/>
        <v>0</v>
      </c>
      <c r="AD249" s="597"/>
      <c r="AE249" s="485">
        <f t="shared" si="79"/>
        <v>0</v>
      </c>
      <c r="AF249" s="508">
        <f t="shared" si="80"/>
        <v>0</v>
      </c>
      <c r="AG249" s="508">
        <f t="shared" si="81"/>
        <v>0</v>
      </c>
      <c r="AH249" s="508">
        <f t="shared" si="82"/>
        <v>0</v>
      </c>
      <c r="AI249" s="508">
        <f t="shared" si="83"/>
        <v>0</v>
      </c>
      <c r="AJ249" s="508">
        <f t="shared" si="84"/>
        <v>0</v>
      </c>
      <c r="AK249" s="508">
        <f t="shared" si="85"/>
        <v>0</v>
      </c>
      <c r="AM249" s="486">
        <f t="shared" si="86"/>
        <v>14.76</v>
      </c>
      <c r="AN249" s="117">
        <f t="shared" si="90"/>
        <v>-15</v>
      </c>
      <c r="AO249" s="487">
        <f t="shared" si="87"/>
        <v>6250</v>
      </c>
      <c r="AP249" s="610"/>
    </row>
    <row r="250" spans="1:42" ht="14.25" customHeight="1">
      <c r="A250" s="701">
        <v>244</v>
      </c>
      <c r="B250" s="477"/>
      <c r="C250" s="611" t="s">
        <v>1854</v>
      </c>
      <c r="D250" s="477" t="s">
        <v>2031</v>
      </c>
      <c r="E250" s="475" t="s">
        <v>1453</v>
      </c>
      <c r="F250" s="611" t="s">
        <v>2032</v>
      </c>
      <c r="G250" s="482" t="s">
        <v>1943</v>
      </c>
      <c r="H250" s="482">
        <v>1</v>
      </c>
      <c r="I250" s="580">
        <v>40544</v>
      </c>
      <c r="J250" s="580">
        <v>37681</v>
      </c>
      <c r="K250" s="581">
        <v>55120</v>
      </c>
      <c r="L250" s="581">
        <v>217.95</v>
      </c>
      <c r="M250" s="582"/>
      <c r="N250" s="582"/>
      <c r="O250" s="582"/>
      <c r="P250" s="582">
        <f t="shared" si="73"/>
        <v>55120</v>
      </c>
      <c r="Q250" s="582">
        <f t="shared" si="74"/>
        <v>217.95</v>
      </c>
      <c r="R250" s="583">
        <f t="shared" si="75"/>
        <v>56400</v>
      </c>
      <c r="S250" s="668">
        <f>AP250</f>
        <v>10</v>
      </c>
      <c r="T250" s="584">
        <v>5</v>
      </c>
      <c r="U250" s="585">
        <f>IF(S250="",R250,ROUND(R250*(S250-T250)/100,0))</f>
        <v>2820</v>
      </c>
      <c r="V250" s="586">
        <f t="shared" si="76"/>
        <v>1193.8699999999999</v>
      </c>
      <c r="W250" s="477"/>
      <c r="X250" s="618">
        <f t="shared" si="92"/>
        <v>55120</v>
      </c>
      <c r="Y250" s="618"/>
      <c r="Z250" s="489">
        <v>66000</v>
      </c>
      <c r="AA250" s="361">
        <f t="shared" si="77"/>
        <v>56410.26</v>
      </c>
      <c r="AB250" s="597"/>
      <c r="AC250" s="485">
        <f t="shared" si="78"/>
        <v>0</v>
      </c>
      <c r="AD250" s="597"/>
      <c r="AE250" s="485">
        <f t="shared" si="79"/>
        <v>0</v>
      </c>
      <c r="AF250" s="508">
        <f t="shared" si="80"/>
        <v>0</v>
      </c>
      <c r="AG250" s="508">
        <f t="shared" si="81"/>
        <v>0</v>
      </c>
      <c r="AH250" s="508">
        <f t="shared" si="82"/>
        <v>66000</v>
      </c>
      <c r="AI250" s="508">
        <f t="shared" si="83"/>
        <v>0</v>
      </c>
      <c r="AJ250" s="508">
        <f t="shared" si="84"/>
        <v>9589.74</v>
      </c>
      <c r="AK250" s="508">
        <f t="shared" si="85"/>
        <v>56400</v>
      </c>
      <c r="AL250" s="116">
        <v>14</v>
      </c>
      <c r="AM250" s="486">
        <f t="shared" si="86"/>
        <v>14.76</v>
      </c>
      <c r="AN250" s="632">
        <v>2</v>
      </c>
      <c r="AO250" s="487">
        <f t="shared" si="87"/>
        <v>12</v>
      </c>
      <c r="AP250" s="669">
        <v>10</v>
      </c>
    </row>
    <row r="251" spans="1:42" ht="14.25" customHeight="1">
      <c r="A251" s="701">
        <v>245</v>
      </c>
      <c r="B251" s="477"/>
      <c r="C251" s="477" t="s">
        <v>1763</v>
      </c>
      <c r="D251" s="477" t="s">
        <v>1309</v>
      </c>
      <c r="E251" s="475" t="s">
        <v>1453</v>
      </c>
      <c r="F251" s="477"/>
      <c r="G251" s="482" t="s">
        <v>1943</v>
      </c>
      <c r="H251" s="482">
        <v>1</v>
      </c>
      <c r="I251" s="580">
        <v>40544</v>
      </c>
      <c r="J251" s="580">
        <v>37681</v>
      </c>
      <c r="K251" s="581">
        <v>2550</v>
      </c>
      <c r="L251" s="581">
        <v>0</v>
      </c>
      <c r="M251" s="582"/>
      <c r="N251" s="582"/>
      <c r="O251" s="582"/>
      <c r="P251" s="582">
        <f t="shared" si="73"/>
        <v>2550</v>
      </c>
      <c r="Q251" s="582">
        <f t="shared" si="74"/>
        <v>0</v>
      </c>
      <c r="R251" s="583">
        <f t="shared" si="75"/>
        <v>2100</v>
      </c>
      <c r="S251" s="668">
        <f>AP251</f>
        <v>10</v>
      </c>
      <c r="T251" s="584"/>
      <c r="U251" s="585">
        <f>IF(S251="",R251,ROUND(R251*S251/100,0))</f>
        <v>210</v>
      </c>
      <c r="V251" s="586" t="str">
        <f t="shared" si="76"/>
        <v/>
      </c>
      <c r="W251" s="477"/>
      <c r="X251" s="618">
        <f t="shared" si="92"/>
        <v>2550</v>
      </c>
      <c r="Y251" s="618"/>
      <c r="Z251" s="489">
        <v>2500</v>
      </c>
      <c r="AA251" s="361">
        <f t="shared" si="77"/>
        <v>2136.75</v>
      </c>
      <c r="AB251" s="597"/>
      <c r="AC251" s="485">
        <f t="shared" si="78"/>
        <v>0</v>
      </c>
      <c r="AD251" s="597"/>
      <c r="AE251" s="485">
        <f t="shared" si="79"/>
        <v>0</v>
      </c>
      <c r="AF251" s="508">
        <f t="shared" si="80"/>
        <v>0</v>
      </c>
      <c r="AG251" s="508">
        <f t="shared" si="81"/>
        <v>0</v>
      </c>
      <c r="AH251" s="508">
        <f t="shared" si="82"/>
        <v>2500</v>
      </c>
      <c r="AI251" s="508">
        <f t="shared" si="83"/>
        <v>0</v>
      </c>
      <c r="AJ251" s="508">
        <f t="shared" si="84"/>
        <v>363.25</v>
      </c>
      <c r="AK251" s="508">
        <f t="shared" si="85"/>
        <v>2100</v>
      </c>
      <c r="AL251" s="116">
        <v>10</v>
      </c>
      <c r="AM251" s="486">
        <f t="shared" si="86"/>
        <v>14.76</v>
      </c>
      <c r="AN251" s="632">
        <v>2</v>
      </c>
      <c r="AO251" s="487">
        <f t="shared" si="87"/>
        <v>12</v>
      </c>
      <c r="AP251" s="669">
        <v>10</v>
      </c>
    </row>
    <row r="252" spans="1:42" ht="14.25" customHeight="1">
      <c r="A252" s="701">
        <v>246</v>
      </c>
      <c r="B252" s="477"/>
      <c r="C252" s="477" t="s">
        <v>1535</v>
      </c>
      <c r="D252" s="477" t="s">
        <v>1310</v>
      </c>
      <c r="E252" s="475" t="s">
        <v>1453</v>
      </c>
      <c r="F252" s="477"/>
      <c r="G252" s="579" t="s">
        <v>1942</v>
      </c>
      <c r="H252" s="482">
        <v>1</v>
      </c>
      <c r="I252" s="580">
        <v>40544</v>
      </c>
      <c r="J252" s="580">
        <v>37681</v>
      </c>
      <c r="K252" s="581">
        <v>2527</v>
      </c>
      <c r="L252" s="581">
        <v>0</v>
      </c>
      <c r="M252" s="582"/>
      <c r="N252" s="582"/>
      <c r="O252" s="582"/>
      <c r="P252" s="582">
        <f t="shared" si="73"/>
        <v>2527</v>
      </c>
      <c r="Q252" s="582">
        <f t="shared" si="74"/>
        <v>0</v>
      </c>
      <c r="R252" s="583">
        <f t="shared" si="75"/>
        <v>2000</v>
      </c>
      <c r="S252" s="668">
        <f>AP252</f>
        <v>10</v>
      </c>
      <c r="T252" s="584"/>
      <c r="U252" s="585">
        <f>IF(S252="",R252,ROUND(R252*S252/100,0))</f>
        <v>200</v>
      </c>
      <c r="V252" s="586" t="str">
        <f t="shared" si="76"/>
        <v/>
      </c>
      <c r="W252" s="477"/>
      <c r="X252" s="618">
        <f t="shared" si="92"/>
        <v>2527</v>
      </c>
      <c r="Y252" s="618"/>
      <c r="Z252" s="489">
        <v>2300</v>
      </c>
      <c r="AA252" s="361">
        <f t="shared" si="77"/>
        <v>1965.81</v>
      </c>
      <c r="AB252" s="597"/>
      <c r="AC252" s="485">
        <f t="shared" si="78"/>
        <v>0</v>
      </c>
      <c r="AD252" s="597"/>
      <c r="AE252" s="485">
        <f t="shared" si="79"/>
        <v>0</v>
      </c>
      <c r="AF252" s="508">
        <f t="shared" si="80"/>
        <v>0</v>
      </c>
      <c r="AG252" s="508">
        <f t="shared" si="81"/>
        <v>0</v>
      </c>
      <c r="AH252" s="508">
        <f t="shared" si="82"/>
        <v>2300</v>
      </c>
      <c r="AI252" s="508">
        <f t="shared" si="83"/>
        <v>0</v>
      </c>
      <c r="AJ252" s="508">
        <f t="shared" si="84"/>
        <v>334.19</v>
      </c>
      <c r="AK252" s="508">
        <f t="shared" si="85"/>
        <v>2000</v>
      </c>
      <c r="AL252" s="116">
        <v>10</v>
      </c>
      <c r="AM252" s="486">
        <f t="shared" si="86"/>
        <v>14.76</v>
      </c>
      <c r="AN252" s="632">
        <v>2</v>
      </c>
      <c r="AO252" s="487">
        <f t="shared" si="87"/>
        <v>12</v>
      </c>
      <c r="AP252" s="669">
        <v>10</v>
      </c>
    </row>
    <row r="253" spans="1:42" ht="14.25" customHeight="1">
      <c r="A253" s="701">
        <v>247</v>
      </c>
      <c r="B253" s="477"/>
      <c r="C253" s="477" t="s">
        <v>1535</v>
      </c>
      <c r="D253" s="477" t="s">
        <v>1310</v>
      </c>
      <c r="E253" s="475" t="s">
        <v>1453</v>
      </c>
      <c r="F253" s="477"/>
      <c r="G253" s="579" t="s">
        <v>1942</v>
      </c>
      <c r="H253" s="482">
        <v>1</v>
      </c>
      <c r="I253" s="580">
        <v>40544</v>
      </c>
      <c r="J253" s="580">
        <v>37681</v>
      </c>
      <c r="K253" s="581">
        <v>2527</v>
      </c>
      <c r="L253" s="581">
        <v>0</v>
      </c>
      <c r="M253" s="582"/>
      <c r="N253" s="582"/>
      <c r="O253" s="582"/>
      <c r="P253" s="582">
        <f t="shared" si="73"/>
        <v>2527</v>
      </c>
      <c r="Q253" s="582">
        <f t="shared" si="74"/>
        <v>0</v>
      </c>
      <c r="R253" s="583">
        <f t="shared" si="75"/>
        <v>2000</v>
      </c>
      <c r="S253" s="668">
        <f>AP253</f>
        <v>10</v>
      </c>
      <c r="T253" s="584"/>
      <c r="U253" s="585">
        <f>IF(S253="",R253,ROUND(R253*S253/100,0))</f>
        <v>200</v>
      </c>
      <c r="V253" s="586" t="str">
        <f t="shared" si="76"/>
        <v/>
      </c>
      <c r="W253" s="477"/>
      <c r="X253" s="618">
        <f t="shared" si="92"/>
        <v>2527</v>
      </c>
      <c r="Y253" s="618"/>
      <c r="Z253" s="489">
        <v>2300</v>
      </c>
      <c r="AA253" s="361">
        <f t="shared" si="77"/>
        <v>1965.81</v>
      </c>
      <c r="AB253" s="597"/>
      <c r="AC253" s="485">
        <f t="shared" si="78"/>
        <v>0</v>
      </c>
      <c r="AD253" s="597"/>
      <c r="AE253" s="485">
        <f t="shared" si="79"/>
        <v>0</v>
      </c>
      <c r="AF253" s="508">
        <f t="shared" si="80"/>
        <v>0</v>
      </c>
      <c r="AG253" s="508">
        <f t="shared" si="81"/>
        <v>0</v>
      </c>
      <c r="AH253" s="508">
        <f t="shared" si="82"/>
        <v>2300</v>
      </c>
      <c r="AI253" s="508">
        <f t="shared" si="83"/>
        <v>0</v>
      </c>
      <c r="AJ253" s="508">
        <f t="shared" si="84"/>
        <v>334.19</v>
      </c>
      <c r="AK253" s="508">
        <f t="shared" si="85"/>
        <v>2000</v>
      </c>
      <c r="AL253" s="116">
        <v>10</v>
      </c>
      <c r="AM253" s="486">
        <f t="shared" si="86"/>
        <v>14.76</v>
      </c>
      <c r="AN253" s="632">
        <v>2</v>
      </c>
      <c r="AO253" s="487">
        <f t="shared" si="87"/>
        <v>12</v>
      </c>
      <c r="AP253" s="669">
        <v>10</v>
      </c>
    </row>
    <row r="254" spans="1:42" ht="14.25" customHeight="1">
      <c r="A254" s="701">
        <v>248</v>
      </c>
      <c r="B254" s="477"/>
      <c r="C254" s="477" t="s">
        <v>1535</v>
      </c>
      <c r="D254" s="477" t="s">
        <v>2085</v>
      </c>
      <c r="E254" s="475" t="s">
        <v>1453</v>
      </c>
      <c r="F254" s="477"/>
      <c r="G254" s="579" t="s">
        <v>1942</v>
      </c>
      <c r="H254" s="482">
        <v>1</v>
      </c>
      <c r="I254" s="580">
        <v>40544</v>
      </c>
      <c r="J254" s="580">
        <v>37681</v>
      </c>
      <c r="K254" s="581">
        <v>2527</v>
      </c>
      <c r="L254" s="581">
        <v>0</v>
      </c>
      <c r="M254" s="582"/>
      <c r="N254" s="582"/>
      <c r="O254" s="582"/>
      <c r="P254" s="582">
        <f t="shared" si="73"/>
        <v>2527</v>
      </c>
      <c r="Q254" s="582">
        <f t="shared" si="74"/>
        <v>0</v>
      </c>
      <c r="R254" s="583">
        <f t="shared" si="75"/>
        <v>2200</v>
      </c>
      <c r="S254" s="668">
        <f>AP254</f>
        <v>10</v>
      </c>
      <c r="T254" s="584"/>
      <c r="U254" s="585">
        <f>IF(S254="",R254,ROUND(R254*S254/100,0))</f>
        <v>220</v>
      </c>
      <c r="V254" s="586" t="str">
        <f t="shared" si="76"/>
        <v/>
      </c>
      <c r="W254" s="477"/>
      <c r="X254" s="618">
        <f t="shared" si="92"/>
        <v>2527</v>
      </c>
      <c r="Y254" s="618"/>
      <c r="Z254" s="489">
        <v>2600</v>
      </c>
      <c r="AA254" s="361">
        <f t="shared" si="77"/>
        <v>2222.2199999999998</v>
      </c>
      <c r="AB254" s="597"/>
      <c r="AC254" s="485">
        <f t="shared" si="78"/>
        <v>0</v>
      </c>
      <c r="AD254" s="597"/>
      <c r="AE254" s="485">
        <f t="shared" si="79"/>
        <v>0</v>
      </c>
      <c r="AF254" s="508">
        <f t="shared" si="80"/>
        <v>0</v>
      </c>
      <c r="AG254" s="508">
        <f t="shared" si="81"/>
        <v>0</v>
      </c>
      <c r="AH254" s="508">
        <f t="shared" si="82"/>
        <v>2600</v>
      </c>
      <c r="AI254" s="508">
        <f t="shared" si="83"/>
        <v>0</v>
      </c>
      <c r="AJ254" s="508">
        <f t="shared" si="84"/>
        <v>377.78</v>
      </c>
      <c r="AK254" s="508">
        <f t="shared" si="85"/>
        <v>2200</v>
      </c>
      <c r="AL254" s="116">
        <v>10</v>
      </c>
      <c r="AM254" s="486">
        <f t="shared" si="86"/>
        <v>14.76</v>
      </c>
      <c r="AN254" s="632">
        <v>2</v>
      </c>
      <c r="AO254" s="487">
        <f t="shared" si="87"/>
        <v>12</v>
      </c>
      <c r="AP254" s="669">
        <v>10</v>
      </c>
    </row>
    <row r="255" spans="1:42" ht="14.25" customHeight="1">
      <c r="A255" s="701">
        <v>249</v>
      </c>
      <c r="B255" s="477"/>
      <c r="C255" s="477" t="s">
        <v>1728</v>
      </c>
      <c r="D255" s="477"/>
      <c r="E255" s="475" t="s">
        <v>1453</v>
      </c>
      <c r="F255" s="477"/>
      <c r="G255" s="482" t="s">
        <v>1943</v>
      </c>
      <c r="H255" s="482">
        <v>1</v>
      </c>
      <c r="I255" s="580">
        <v>40544</v>
      </c>
      <c r="J255" s="580">
        <v>37681</v>
      </c>
      <c r="K255" s="581">
        <v>2380</v>
      </c>
      <c r="L255" s="581">
        <v>0</v>
      </c>
      <c r="M255" s="582"/>
      <c r="N255" s="582"/>
      <c r="O255" s="582"/>
      <c r="P255" s="582">
        <f t="shared" si="73"/>
        <v>2380</v>
      </c>
      <c r="Q255" s="582">
        <f t="shared" si="74"/>
        <v>0</v>
      </c>
      <c r="R255" s="583">
        <f t="shared" si="75"/>
        <v>100</v>
      </c>
      <c r="S255" s="584"/>
      <c r="T255" s="584">
        <v>3</v>
      </c>
      <c r="U255" s="585">
        <f t="shared" ref="U255:U261" si="94">ROUND(R255*(1-T255/100),0)</f>
        <v>97</v>
      </c>
      <c r="V255" s="586" t="str">
        <f t="shared" si="76"/>
        <v/>
      </c>
      <c r="W255" s="611" t="s">
        <v>2074</v>
      </c>
      <c r="X255" s="618">
        <f t="shared" si="92"/>
        <v>2380</v>
      </c>
      <c r="Y255" s="618"/>
      <c r="Z255" s="617">
        <v>100</v>
      </c>
      <c r="AA255" s="361">
        <f t="shared" si="77"/>
        <v>85.47</v>
      </c>
      <c r="AB255" s="597"/>
      <c r="AC255" s="485">
        <f t="shared" si="78"/>
        <v>0</v>
      </c>
      <c r="AD255" s="597"/>
      <c r="AE255" s="485">
        <f t="shared" si="79"/>
        <v>0</v>
      </c>
      <c r="AF255" s="508">
        <f t="shared" si="80"/>
        <v>0</v>
      </c>
      <c r="AG255" s="508">
        <f t="shared" si="81"/>
        <v>0</v>
      </c>
      <c r="AH255" s="508">
        <f t="shared" si="82"/>
        <v>100</v>
      </c>
      <c r="AI255" s="508">
        <f t="shared" si="83"/>
        <v>0</v>
      </c>
      <c r="AJ255" s="508">
        <f t="shared" si="84"/>
        <v>14.53</v>
      </c>
      <c r="AK255" s="508">
        <f t="shared" si="85"/>
        <v>100</v>
      </c>
      <c r="AM255" s="486">
        <f t="shared" si="86"/>
        <v>14.76</v>
      </c>
      <c r="AN255" s="117">
        <f t="shared" ref="AN255:AN261" si="95">ROUND((AL255-AM255),0)</f>
        <v>-15</v>
      </c>
      <c r="AO255" s="487">
        <f t="shared" si="87"/>
        <v>6250</v>
      </c>
      <c r="AP255" s="610"/>
    </row>
    <row r="256" spans="1:42" ht="14.25" customHeight="1">
      <c r="A256" s="701">
        <v>250</v>
      </c>
      <c r="B256" s="477"/>
      <c r="C256" s="477" t="s">
        <v>1546</v>
      </c>
      <c r="D256" s="477" t="s">
        <v>1311</v>
      </c>
      <c r="E256" s="475" t="s">
        <v>1453</v>
      </c>
      <c r="F256" s="611" t="s">
        <v>1999</v>
      </c>
      <c r="G256" s="482" t="s">
        <v>1943</v>
      </c>
      <c r="H256" s="482">
        <v>1</v>
      </c>
      <c r="I256" s="580">
        <v>40544</v>
      </c>
      <c r="J256" s="580">
        <v>37681</v>
      </c>
      <c r="K256" s="581">
        <v>39660</v>
      </c>
      <c r="L256" s="581">
        <v>2564.1</v>
      </c>
      <c r="M256" s="582"/>
      <c r="N256" s="582"/>
      <c r="O256" s="582"/>
      <c r="P256" s="582">
        <f t="shared" si="73"/>
        <v>39660</v>
      </c>
      <c r="Q256" s="582">
        <f t="shared" si="74"/>
        <v>2564.1</v>
      </c>
      <c r="R256" s="583">
        <f t="shared" si="75"/>
        <v>1100</v>
      </c>
      <c r="S256" s="584"/>
      <c r="T256" s="584">
        <v>5</v>
      </c>
      <c r="U256" s="585">
        <f t="shared" si="94"/>
        <v>1045</v>
      </c>
      <c r="V256" s="586">
        <f t="shared" si="76"/>
        <v>-59.24</v>
      </c>
      <c r="W256" s="611" t="s">
        <v>2074</v>
      </c>
      <c r="X256" s="618">
        <f t="shared" si="92"/>
        <v>39660</v>
      </c>
      <c r="Y256" s="618">
        <v>1</v>
      </c>
      <c r="Z256" s="617">
        <f>Z$4*Y256</f>
        <v>1300</v>
      </c>
      <c r="AA256" s="361">
        <f t="shared" si="77"/>
        <v>1111.1099999999999</v>
      </c>
      <c r="AB256" s="597"/>
      <c r="AC256" s="485">
        <f t="shared" si="78"/>
        <v>0</v>
      </c>
      <c r="AD256" s="597"/>
      <c r="AE256" s="485">
        <f t="shared" si="79"/>
        <v>0</v>
      </c>
      <c r="AF256" s="508">
        <f t="shared" si="80"/>
        <v>0</v>
      </c>
      <c r="AG256" s="508">
        <f t="shared" si="81"/>
        <v>0</v>
      </c>
      <c r="AH256" s="508">
        <f t="shared" si="82"/>
        <v>1300</v>
      </c>
      <c r="AI256" s="508">
        <f t="shared" si="83"/>
        <v>0</v>
      </c>
      <c r="AJ256" s="508">
        <f t="shared" si="84"/>
        <v>188.89</v>
      </c>
      <c r="AK256" s="508">
        <f t="shared" si="85"/>
        <v>1100</v>
      </c>
      <c r="AL256" s="116">
        <v>12</v>
      </c>
      <c r="AM256" s="486">
        <f t="shared" si="86"/>
        <v>14.76</v>
      </c>
      <c r="AN256" s="117">
        <f t="shared" si="95"/>
        <v>-3</v>
      </c>
      <c r="AO256" s="487">
        <f t="shared" si="87"/>
        <v>-26</v>
      </c>
      <c r="AP256" s="610"/>
    </row>
    <row r="257" spans="1:42" ht="14.25" customHeight="1">
      <c r="A257" s="701">
        <v>251</v>
      </c>
      <c r="B257" s="477"/>
      <c r="C257" s="477" t="s">
        <v>1546</v>
      </c>
      <c r="D257" s="477" t="s">
        <v>1311</v>
      </c>
      <c r="E257" s="475" t="s">
        <v>1453</v>
      </c>
      <c r="F257" s="611" t="s">
        <v>1999</v>
      </c>
      <c r="G257" s="482" t="s">
        <v>1943</v>
      </c>
      <c r="H257" s="482">
        <v>1</v>
      </c>
      <c r="I257" s="580">
        <v>40544</v>
      </c>
      <c r="J257" s="580">
        <v>37681</v>
      </c>
      <c r="K257" s="581">
        <v>30000</v>
      </c>
      <c r="L257" s="581">
        <v>1538.46</v>
      </c>
      <c r="M257" s="582"/>
      <c r="N257" s="582"/>
      <c r="O257" s="582"/>
      <c r="P257" s="582">
        <f t="shared" si="73"/>
        <v>30000</v>
      </c>
      <c r="Q257" s="582">
        <f t="shared" si="74"/>
        <v>1538.46</v>
      </c>
      <c r="R257" s="583">
        <f t="shared" si="75"/>
        <v>1100</v>
      </c>
      <c r="S257" s="584"/>
      <c r="T257" s="584">
        <v>5</v>
      </c>
      <c r="U257" s="585">
        <f t="shared" si="94"/>
        <v>1045</v>
      </c>
      <c r="V257" s="586">
        <f t="shared" si="76"/>
        <v>-32.07</v>
      </c>
      <c r="W257" s="611" t="s">
        <v>2074</v>
      </c>
      <c r="X257" s="618">
        <f t="shared" si="92"/>
        <v>30000</v>
      </c>
      <c r="Y257" s="618">
        <v>1</v>
      </c>
      <c r="Z257" s="617">
        <f>Z$4*Y257</f>
        <v>1300</v>
      </c>
      <c r="AA257" s="361">
        <f t="shared" si="77"/>
        <v>1111.1099999999999</v>
      </c>
      <c r="AB257" s="597"/>
      <c r="AC257" s="485">
        <f t="shared" si="78"/>
        <v>0</v>
      </c>
      <c r="AD257" s="597"/>
      <c r="AE257" s="485">
        <f t="shared" si="79"/>
        <v>0</v>
      </c>
      <c r="AF257" s="508">
        <f t="shared" si="80"/>
        <v>0</v>
      </c>
      <c r="AG257" s="508">
        <f t="shared" si="81"/>
        <v>0</v>
      </c>
      <c r="AH257" s="508">
        <f t="shared" si="82"/>
        <v>1300</v>
      </c>
      <c r="AI257" s="508">
        <f t="shared" si="83"/>
        <v>0</v>
      </c>
      <c r="AJ257" s="508">
        <f t="shared" si="84"/>
        <v>188.89</v>
      </c>
      <c r="AK257" s="508">
        <f t="shared" si="85"/>
        <v>1100</v>
      </c>
      <c r="AL257" s="116">
        <v>12</v>
      </c>
      <c r="AM257" s="486">
        <f t="shared" si="86"/>
        <v>14.76</v>
      </c>
      <c r="AN257" s="117">
        <f t="shared" si="95"/>
        <v>-3</v>
      </c>
      <c r="AO257" s="487">
        <f t="shared" si="87"/>
        <v>-26</v>
      </c>
      <c r="AP257" s="610"/>
    </row>
    <row r="258" spans="1:42" ht="14.25" customHeight="1">
      <c r="A258" s="701">
        <v>252</v>
      </c>
      <c r="B258" s="477"/>
      <c r="C258" s="477" t="s">
        <v>1517</v>
      </c>
      <c r="D258" s="477" t="s">
        <v>1312</v>
      </c>
      <c r="E258" s="475" t="s">
        <v>1453</v>
      </c>
      <c r="F258" s="611" t="s">
        <v>2018</v>
      </c>
      <c r="G258" s="579" t="s">
        <v>1965</v>
      </c>
      <c r="H258" s="482">
        <v>1</v>
      </c>
      <c r="I258" s="580">
        <v>40544</v>
      </c>
      <c r="J258" s="580">
        <v>37681</v>
      </c>
      <c r="K258" s="581">
        <v>18000</v>
      </c>
      <c r="L258" s="581">
        <v>1066.67</v>
      </c>
      <c r="M258" s="582"/>
      <c r="N258" s="582"/>
      <c r="O258" s="582"/>
      <c r="P258" s="582">
        <f t="shared" si="73"/>
        <v>18000</v>
      </c>
      <c r="Q258" s="582">
        <f t="shared" si="74"/>
        <v>1066.67</v>
      </c>
      <c r="R258" s="583">
        <f t="shared" si="75"/>
        <v>200</v>
      </c>
      <c r="S258" s="584"/>
      <c r="T258" s="584">
        <v>3</v>
      </c>
      <c r="U258" s="585">
        <f t="shared" si="94"/>
        <v>194</v>
      </c>
      <c r="V258" s="586">
        <f t="shared" si="76"/>
        <v>-81.81</v>
      </c>
      <c r="W258" s="611" t="s">
        <v>2074</v>
      </c>
      <c r="X258" s="618">
        <f t="shared" si="92"/>
        <v>18000</v>
      </c>
      <c r="Y258" s="618"/>
      <c r="Z258" s="617">
        <v>200</v>
      </c>
      <c r="AA258" s="361">
        <f t="shared" si="77"/>
        <v>170.94</v>
      </c>
      <c r="AB258" s="597"/>
      <c r="AC258" s="485">
        <f t="shared" si="78"/>
        <v>0</v>
      </c>
      <c r="AD258" s="597"/>
      <c r="AE258" s="485">
        <f t="shared" si="79"/>
        <v>0</v>
      </c>
      <c r="AF258" s="508">
        <f t="shared" si="80"/>
        <v>0</v>
      </c>
      <c r="AG258" s="508">
        <f t="shared" si="81"/>
        <v>0</v>
      </c>
      <c r="AH258" s="508">
        <f t="shared" si="82"/>
        <v>200</v>
      </c>
      <c r="AI258" s="508">
        <f t="shared" si="83"/>
        <v>0</v>
      </c>
      <c r="AJ258" s="508">
        <f t="shared" si="84"/>
        <v>29.06</v>
      </c>
      <c r="AK258" s="508">
        <f t="shared" si="85"/>
        <v>200</v>
      </c>
      <c r="AL258" s="116">
        <v>14</v>
      </c>
      <c r="AM258" s="486">
        <f t="shared" si="86"/>
        <v>14.76</v>
      </c>
      <c r="AN258" s="117">
        <f t="shared" si="95"/>
        <v>-1</v>
      </c>
      <c r="AO258" s="487">
        <f t="shared" si="87"/>
        <v>-7</v>
      </c>
      <c r="AP258" s="610"/>
    </row>
    <row r="259" spans="1:42" ht="14.25" customHeight="1">
      <c r="A259" s="701">
        <v>253</v>
      </c>
      <c r="B259" s="477"/>
      <c r="C259" s="477" t="s">
        <v>1748</v>
      </c>
      <c r="D259" s="477" t="s">
        <v>1313</v>
      </c>
      <c r="E259" s="475" t="s">
        <v>1453</v>
      </c>
      <c r="F259" s="477"/>
      <c r="G259" s="482" t="s">
        <v>1943</v>
      </c>
      <c r="H259" s="482">
        <v>1</v>
      </c>
      <c r="I259" s="580">
        <v>40544</v>
      </c>
      <c r="J259" s="580">
        <v>37681</v>
      </c>
      <c r="K259" s="581">
        <v>12480</v>
      </c>
      <c r="L259" s="581">
        <v>2131.41</v>
      </c>
      <c r="M259" s="582"/>
      <c r="N259" s="582"/>
      <c r="O259" s="582"/>
      <c r="P259" s="582">
        <f t="shared" si="73"/>
        <v>12480</v>
      </c>
      <c r="Q259" s="582">
        <f t="shared" si="74"/>
        <v>2131.41</v>
      </c>
      <c r="R259" s="583">
        <f t="shared" si="75"/>
        <v>0</v>
      </c>
      <c r="S259" s="584"/>
      <c r="T259" s="584"/>
      <c r="U259" s="585">
        <f t="shared" si="94"/>
        <v>0</v>
      </c>
      <c r="V259" s="586">
        <f t="shared" si="76"/>
        <v>-100</v>
      </c>
      <c r="W259" s="611" t="s">
        <v>2074</v>
      </c>
      <c r="X259" s="618">
        <f t="shared" si="92"/>
        <v>12480</v>
      </c>
      <c r="Y259" s="618"/>
      <c r="Z259" s="617">
        <v>0</v>
      </c>
      <c r="AA259" s="361">
        <f t="shared" si="77"/>
        <v>0</v>
      </c>
      <c r="AB259" s="597"/>
      <c r="AC259" s="485">
        <f t="shared" si="78"/>
        <v>0</v>
      </c>
      <c r="AD259" s="597"/>
      <c r="AE259" s="485">
        <f t="shared" si="79"/>
        <v>0</v>
      </c>
      <c r="AF259" s="508">
        <f t="shared" si="80"/>
        <v>0</v>
      </c>
      <c r="AG259" s="508">
        <f t="shared" si="81"/>
        <v>0</v>
      </c>
      <c r="AH259" s="508">
        <f t="shared" si="82"/>
        <v>0</v>
      </c>
      <c r="AI259" s="508">
        <f t="shared" si="83"/>
        <v>0</v>
      </c>
      <c r="AJ259" s="508">
        <f t="shared" si="84"/>
        <v>0</v>
      </c>
      <c r="AK259" s="508">
        <f t="shared" si="85"/>
        <v>0</v>
      </c>
      <c r="AM259" s="486">
        <f t="shared" si="86"/>
        <v>14.76</v>
      </c>
      <c r="AN259" s="117">
        <f t="shared" si="95"/>
        <v>-15</v>
      </c>
      <c r="AO259" s="487">
        <f t="shared" si="87"/>
        <v>6250</v>
      </c>
      <c r="AP259" s="610"/>
    </row>
    <row r="260" spans="1:42" ht="14.25" customHeight="1">
      <c r="A260" s="701">
        <v>254</v>
      </c>
      <c r="B260" s="477"/>
      <c r="C260" s="477" t="s">
        <v>1658</v>
      </c>
      <c r="D260" s="477" t="s">
        <v>1314</v>
      </c>
      <c r="E260" s="475" t="s">
        <v>1453</v>
      </c>
      <c r="F260" s="477"/>
      <c r="G260" s="482" t="s">
        <v>1943</v>
      </c>
      <c r="H260" s="482">
        <v>1</v>
      </c>
      <c r="I260" s="580">
        <v>40544</v>
      </c>
      <c r="J260" s="580">
        <v>37681</v>
      </c>
      <c r="K260" s="581">
        <v>24937.5</v>
      </c>
      <c r="L260" s="581">
        <v>2131.41</v>
      </c>
      <c r="M260" s="582"/>
      <c r="N260" s="582"/>
      <c r="O260" s="582"/>
      <c r="P260" s="582">
        <f t="shared" si="73"/>
        <v>24937.5</v>
      </c>
      <c r="Q260" s="582">
        <f t="shared" si="74"/>
        <v>2131.41</v>
      </c>
      <c r="R260" s="583">
        <f t="shared" si="75"/>
        <v>0</v>
      </c>
      <c r="S260" s="584"/>
      <c r="T260" s="584"/>
      <c r="U260" s="585">
        <f t="shared" si="94"/>
        <v>0</v>
      </c>
      <c r="V260" s="586">
        <f t="shared" si="76"/>
        <v>-100</v>
      </c>
      <c r="W260" s="611" t="s">
        <v>2074</v>
      </c>
      <c r="X260" s="618">
        <f t="shared" si="92"/>
        <v>24937.5</v>
      </c>
      <c r="Y260" s="618"/>
      <c r="Z260" s="617">
        <v>0</v>
      </c>
      <c r="AA260" s="361">
        <f t="shared" si="77"/>
        <v>0</v>
      </c>
      <c r="AB260" s="597"/>
      <c r="AC260" s="485">
        <f t="shared" si="78"/>
        <v>0</v>
      </c>
      <c r="AD260" s="597"/>
      <c r="AE260" s="485">
        <f t="shared" si="79"/>
        <v>0</v>
      </c>
      <c r="AF260" s="508">
        <f t="shared" si="80"/>
        <v>0</v>
      </c>
      <c r="AG260" s="508">
        <f t="shared" si="81"/>
        <v>0</v>
      </c>
      <c r="AH260" s="508">
        <f t="shared" si="82"/>
        <v>0</v>
      </c>
      <c r="AI260" s="508">
        <f t="shared" si="83"/>
        <v>0</v>
      </c>
      <c r="AJ260" s="508">
        <f t="shared" si="84"/>
        <v>0</v>
      </c>
      <c r="AK260" s="508">
        <f t="shared" si="85"/>
        <v>0</v>
      </c>
      <c r="AM260" s="486">
        <f t="shared" si="86"/>
        <v>14.76</v>
      </c>
      <c r="AN260" s="117">
        <f t="shared" si="95"/>
        <v>-15</v>
      </c>
      <c r="AO260" s="487">
        <f t="shared" si="87"/>
        <v>6250</v>
      </c>
      <c r="AP260" s="610"/>
    </row>
    <row r="261" spans="1:42" ht="14.25" customHeight="1">
      <c r="A261" s="701">
        <v>255</v>
      </c>
      <c r="B261" s="477"/>
      <c r="C261" s="477" t="s">
        <v>1658</v>
      </c>
      <c r="D261" s="477" t="s">
        <v>1314</v>
      </c>
      <c r="E261" s="475" t="s">
        <v>1453</v>
      </c>
      <c r="F261" s="477"/>
      <c r="G261" s="482" t="s">
        <v>1943</v>
      </c>
      <c r="H261" s="482">
        <v>1</v>
      </c>
      <c r="I261" s="580">
        <v>40544</v>
      </c>
      <c r="J261" s="580">
        <v>37681</v>
      </c>
      <c r="K261" s="581">
        <v>24937.5</v>
      </c>
      <c r="L261" s="581">
        <v>2386.3200000000002</v>
      </c>
      <c r="M261" s="582"/>
      <c r="N261" s="582"/>
      <c r="O261" s="582"/>
      <c r="P261" s="582">
        <f t="shared" si="73"/>
        <v>24937.5</v>
      </c>
      <c r="Q261" s="582">
        <f t="shared" si="74"/>
        <v>2386.3200000000002</v>
      </c>
      <c r="R261" s="583">
        <f t="shared" si="75"/>
        <v>0</v>
      </c>
      <c r="S261" s="584"/>
      <c r="T261" s="584"/>
      <c r="U261" s="585">
        <f t="shared" si="94"/>
        <v>0</v>
      </c>
      <c r="V261" s="586">
        <f t="shared" si="76"/>
        <v>-100</v>
      </c>
      <c r="W261" s="611" t="s">
        <v>2074</v>
      </c>
      <c r="X261" s="618">
        <f t="shared" si="92"/>
        <v>24937.5</v>
      </c>
      <c r="Y261" s="618"/>
      <c r="Z261" s="617">
        <v>0</v>
      </c>
      <c r="AA261" s="361">
        <f t="shared" si="77"/>
        <v>0</v>
      </c>
      <c r="AB261" s="597"/>
      <c r="AC261" s="485">
        <f t="shared" si="78"/>
        <v>0</v>
      </c>
      <c r="AD261" s="597"/>
      <c r="AE261" s="485">
        <f t="shared" si="79"/>
        <v>0</v>
      </c>
      <c r="AF261" s="508">
        <f t="shared" si="80"/>
        <v>0</v>
      </c>
      <c r="AG261" s="508">
        <f t="shared" si="81"/>
        <v>0</v>
      </c>
      <c r="AH261" s="508">
        <f t="shared" si="82"/>
        <v>0</v>
      </c>
      <c r="AI261" s="508">
        <f t="shared" si="83"/>
        <v>0</v>
      </c>
      <c r="AJ261" s="508">
        <f t="shared" si="84"/>
        <v>0</v>
      </c>
      <c r="AK261" s="508">
        <f t="shared" si="85"/>
        <v>0</v>
      </c>
      <c r="AM261" s="486">
        <f t="shared" si="86"/>
        <v>14.76</v>
      </c>
      <c r="AN261" s="117">
        <f t="shared" si="95"/>
        <v>-15</v>
      </c>
      <c r="AO261" s="487">
        <f t="shared" si="87"/>
        <v>6250</v>
      </c>
      <c r="AP261" s="610"/>
    </row>
    <row r="262" spans="1:42" ht="14.25" customHeight="1">
      <c r="A262" s="701">
        <v>256</v>
      </c>
      <c r="B262" s="477"/>
      <c r="C262" s="477" t="s">
        <v>1717</v>
      </c>
      <c r="D262" s="477" t="s">
        <v>1315</v>
      </c>
      <c r="E262" s="475" t="s">
        <v>1453</v>
      </c>
      <c r="F262" s="477"/>
      <c r="G262" s="579" t="s">
        <v>1963</v>
      </c>
      <c r="H262" s="482">
        <v>1</v>
      </c>
      <c r="I262" s="580">
        <v>40544</v>
      </c>
      <c r="J262" s="580">
        <v>37681</v>
      </c>
      <c r="K262" s="581">
        <v>27920</v>
      </c>
      <c r="L262" s="581">
        <v>2229.06</v>
      </c>
      <c r="M262" s="582"/>
      <c r="N262" s="582"/>
      <c r="O262" s="582"/>
      <c r="P262" s="582">
        <f t="shared" si="73"/>
        <v>27920</v>
      </c>
      <c r="Q262" s="582">
        <f t="shared" si="74"/>
        <v>2229.06</v>
      </c>
      <c r="R262" s="583">
        <f t="shared" si="75"/>
        <v>28600</v>
      </c>
      <c r="S262" s="668">
        <f>AP262</f>
        <v>10</v>
      </c>
      <c r="T262" s="584">
        <v>3</v>
      </c>
      <c r="U262" s="585">
        <f>IF(S262="",R262,ROUND(R262*(S262-T262)/100,0))</f>
        <v>2002</v>
      </c>
      <c r="V262" s="586">
        <f t="shared" si="76"/>
        <v>-10.19</v>
      </c>
      <c r="W262" s="477"/>
      <c r="X262" s="618">
        <f t="shared" si="92"/>
        <v>27920</v>
      </c>
      <c r="Y262" s="618"/>
      <c r="Z262" s="489">
        <v>33500</v>
      </c>
      <c r="AA262" s="361">
        <f t="shared" si="77"/>
        <v>28632.48</v>
      </c>
      <c r="AB262" s="597"/>
      <c r="AC262" s="485">
        <f t="shared" si="78"/>
        <v>0</v>
      </c>
      <c r="AD262" s="597"/>
      <c r="AE262" s="485">
        <f t="shared" si="79"/>
        <v>0</v>
      </c>
      <c r="AF262" s="508">
        <f t="shared" si="80"/>
        <v>0</v>
      </c>
      <c r="AG262" s="508">
        <f t="shared" si="81"/>
        <v>0</v>
      </c>
      <c r="AH262" s="508">
        <f t="shared" si="82"/>
        <v>33500</v>
      </c>
      <c r="AI262" s="508">
        <f t="shared" si="83"/>
        <v>0</v>
      </c>
      <c r="AJ262" s="508">
        <f t="shared" si="84"/>
        <v>4867.5200000000004</v>
      </c>
      <c r="AK262" s="508">
        <f t="shared" si="85"/>
        <v>28600</v>
      </c>
      <c r="AL262" s="116">
        <v>12</v>
      </c>
      <c r="AM262" s="486">
        <f t="shared" si="86"/>
        <v>14.76</v>
      </c>
      <c r="AN262" s="632">
        <v>2</v>
      </c>
      <c r="AO262" s="487">
        <f t="shared" si="87"/>
        <v>12</v>
      </c>
      <c r="AP262" s="669">
        <v>10</v>
      </c>
    </row>
    <row r="263" spans="1:42" ht="14.25" customHeight="1">
      <c r="A263" s="701">
        <v>257</v>
      </c>
      <c r="B263" s="477"/>
      <c r="C263" s="477" t="s">
        <v>1717</v>
      </c>
      <c r="D263" s="477" t="s">
        <v>1316</v>
      </c>
      <c r="E263" s="475" t="s">
        <v>1453</v>
      </c>
      <c r="F263" s="477"/>
      <c r="G263" s="579" t="s">
        <v>1963</v>
      </c>
      <c r="H263" s="482">
        <v>1</v>
      </c>
      <c r="I263" s="580">
        <v>40544</v>
      </c>
      <c r="J263" s="580">
        <v>37681</v>
      </c>
      <c r="K263" s="581">
        <v>26080</v>
      </c>
      <c r="L263" s="581">
        <v>0</v>
      </c>
      <c r="M263" s="582"/>
      <c r="N263" s="582"/>
      <c r="O263" s="582"/>
      <c r="P263" s="582">
        <f t="shared" ref="P263:P326" si="96">K263+N263</f>
        <v>26080</v>
      </c>
      <c r="Q263" s="582">
        <f t="shared" ref="Q263:Q326" si="97">L263+O263</f>
        <v>0</v>
      </c>
      <c r="R263" s="583">
        <f t="shared" ref="R263:R326" si="98">AK263</f>
        <v>26800</v>
      </c>
      <c r="S263" s="668">
        <f>AP263</f>
        <v>10</v>
      </c>
      <c r="T263" s="584">
        <v>3</v>
      </c>
      <c r="U263" s="585">
        <f>IF(S263="",R263,ROUND(R263*(S263-T263)/100,0))</f>
        <v>1876</v>
      </c>
      <c r="V263" s="586" t="str">
        <f t="shared" ref="V263:V326" si="99">IF(Q263=0,"",(U263-Q263)/Q263*100)</f>
        <v/>
      </c>
      <c r="W263" s="477"/>
      <c r="X263" s="618">
        <f t="shared" si="92"/>
        <v>26080</v>
      </c>
      <c r="Y263" s="618"/>
      <c r="Z263" s="489">
        <v>31300</v>
      </c>
      <c r="AA263" s="361">
        <f t="shared" ref="AA263:AA326" si="100">Z263/1.17</f>
        <v>26752.14</v>
      </c>
      <c r="AB263" s="597"/>
      <c r="AC263" s="485">
        <f t="shared" ref="AC263:AC326" si="101">Z263*AB263</f>
        <v>0</v>
      </c>
      <c r="AD263" s="597"/>
      <c r="AE263" s="485">
        <f t="shared" ref="AE263:AE326" si="102">Z263*AD263</f>
        <v>0</v>
      </c>
      <c r="AF263" s="508">
        <f t="shared" ref="AF263:AF326" si="103">(Z263+AC263+AE263)*AF$4</f>
        <v>0</v>
      </c>
      <c r="AG263" s="508">
        <f t="shared" ref="AG263:AG326" si="104">(Z263+AC263+AE263)*AG$4</f>
        <v>0</v>
      </c>
      <c r="AH263" s="508">
        <f t="shared" ref="AH263:AH326" si="105">Z263+AC263+AE263+AF263</f>
        <v>31300</v>
      </c>
      <c r="AI263" s="508">
        <f t="shared" ref="AI263:AI326" si="106">AH263*AI$3*AI$4/2</f>
        <v>0</v>
      </c>
      <c r="AJ263" s="508">
        <f t="shared" ref="AJ263:AJ326" si="107">Z263*0.17/1.17+AC263*0.11/1.11+AE263*0.11/1.11+AF263-AG263</f>
        <v>4547.8599999999997</v>
      </c>
      <c r="AK263" s="508">
        <f t="shared" ref="AK263:AK326" si="108">ROUND((Z263+AC263+AE263+AF263+AI263-AJ263)*H263,-2)</f>
        <v>26800</v>
      </c>
      <c r="AL263" s="116">
        <v>12</v>
      </c>
      <c r="AM263" s="486">
        <f t="shared" ref="AM263:AM326" si="109">(AM$4-J263)/365</f>
        <v>14.76</v>
      </c>
      <c r="AN263" s="632">
        <v>2</v>
      </c>
      <c r="AO263" s="487">
        <f t="shared" ref="AO263:AO326" si="110">AN263/(AM263+AN263)*100</f>
        <v>12</v>
      </c>
      <c r="AP263" s="669">
        <v>10</v>
      </c>
    </row>
    <row r="264" spans="1:42" ht="14.25" customHeight="1">
      <c r="A264" s="701">
        <v>258</v>
      </c>
      <c r="B264" s="477"/>
      <c r="C264" s="477" t="s">
        <v>1623</v>
      </c>
      <c r="D264" s="477"/>
      <c r="E264" s="475" t="s">
        <v>1453</v>
      </c>
      <c r="F264" s="477"/>
      <c r="G264" s="579" t="s">
        <v>1965</v>
      </c>
      <c r="H264" s="482">
        <v>1</v>
      </c>
      <c r="I264" s="580">
        <v>40544</v>
      </c>
      <c r="J264" s="580">
        <v>37681</v>
      </c>
      <c r="K264" s="581">
        <v>3600</v>
      </c>
      <c r="L264" s="581">
        <v>0</v>
      </c>
      <c r="M264" s="582"/>
      <c r="N264" s="582"/>
      <c r="O264" s="582"/>
      <c r="P264" s="582">
        <f t="shared" si="96"/>
        <v>3600</v>
      </c>
      <c r="Q264" s="582">
        <f t="shared" si="97"/>
        <v>0</v>
      </c>
      <c r="R264" s="583">
        <f t="shared" si="98"/>
        <v>100</v>
      </c>
      <c r="S264" s="584"/>
      <c r="T264" s="584">
        <v>3</v>
      </c>
      <c r="U264" s="585">
        <f>ROUND(R264*(1-T264/100),0)</f>
        <v>97</v>
      </c>
      <c r="V264" s="586" t="str">
        <f t="shared" si="99"/>
        <v/>
      </c>
      <c r="W264" s="611" t="s">
        <v>2074</v>
      </c>
      <c r="X264" s="618">
        <f t="shared" si="92"/>
        <v>3600</v>
      </c>
      <c r="Y264" s="618"/>
      <c r="Z264" s="617">
        <v>100</v>
      </c>
      <c r="AA264" s="361">
        <f t="shared" si="100"/>
        <v>85.47</v>
      </c>
      <c r="AB264" s="597"/>
      <c r="AC264" s="485">
        <f t="shared" si="101"/>
        <v>0</v>
      </c>
      <c r="AD264" s="597"/>
      <c r="AE264" s="485">
        <f t="shared" si="102"/>
        <v>0</v>
      </c>
      <c r="AF264" s="508">
        <f t="shared" si="103"/>
        <v>0</v>
      </c>
      <c r="AG264" s="508">
        <f t="shared" si="104"/>
        <v>0</v>
      </c>
      <c r="AH264" s="508">
        <f t="shared" si="105"/>
        <v>100</v>
      </c>
      <c r="AI264" s="508">
        <f t="shared" si="106"/>
        <v>0</v>
      </c>
      <c r="AJ264" s="508">
        <f t="shared" si="107"/>
        <v>14.53</v>
      </c>
      <c r="AK264" s="508">
        <f t="shared" si="108"/>
        <v>100</v>
      </c>
      <c r="AM264" s="486">
        <f t="shared" si="109"/>
        <v>14.76</v>
      </c>
      <c r="AN264" s="117">
        <f>ROUND((AL264-AM264),0)</f>
        <v>-15</v>
      </c>
      <c r="AO264" s="487">
        <f t="shared" si="110"/>
        <v>6250</v>
      </c>
      <c r="AP264" s="610"/>
    </row>
    <row r="265" spans="1:42" ht="14.25" customHeight="1">
      <c r="A265" s="701">
        <v>259</v>
      </c>
      <c r="B265" s="477"/>
      <c r="C265" s="477" t="s">
        <v>1595</v>
      </c>
      <c r="D265" s="477" t="s">
        <v>1317</v>
      </c>
      <c r="E265" s="475" t="s">
        <v>1453</v>
      </c>
      <c r="F265" s="611" t="s">
        <v>2066</v>
      </c>
      <c r="G265" s="482" t="s">
        <v>1943</v>
      </c>
      <c r="H265" s="482">
        <v>1</v>
      </c>
      <c r="I265" s="580">
        <v>40544</v>
      </c>
      <c r="J265" s="580">
        <v>37681</v>
      </c>
      <c r="K265" s="581">
        <v>29830</v>
      </c>
      <c r="L265" s="581">
        <v>861.54</v>
      </c>
      <c r="M265" s="582"/>
      <c r="N265" s="582"/>
      <c r="O265" s="582"/>
      <c r="P265" s="582">
        <f t="shared" si="96"/>
        <v>29830</v>
      </c>
      <c r="Q265" s="582">
        <f t="shared" si="97"/>
        <v>861.54</v>
      </c>
      <c r="R265" s="583">
        <f t="shared" si="98"/>
        <v>200</v>
      </c>
      <c r="S265" s="584"/>
      <c r="T265" s="584">
        <v>3</v>
      </c>
      <c r="U265" s="585">
        <f>ROUND(R265*(1-T265/100),0)</f>
        <v>194</v>
      </c>
      <c r="V265" s="586">
        <f t="shared" si="99"/>
        <v>-77.48</v>
      </c>
      <c r="W265" s="611" t="s">
        <v>2076</v>
      </c>
      <c r="X265" s="618">
        <f t="shared" si="92"/>
        <v>29830</v>
      </c>
      <c r="Y265" s="618"/>
      <c r="Z265" s="617">
        <v>200</v>
      </c>
      <c r="AA265" s="361">
        <f t="shared" si="100"/>
        <v>170.94</v>
      </c>
      <c r="AB265" s="597"/>
      <c r="AC265" s="485">
        <f t="shared" si="101"/>
        <v>0</v>
      </c>
      <c r="AD265" s="597"/>
      <c r="AE265" s="485">
        <f t="shared" si="102"/>
        <v>0</v>
      </c>
      <c r="AF265" s="508">
        <f t="shared" si="103"/>
        <v>0</v>
      </c>
      <c r="AG265" s="508">
        <f t="shared" si="104"/>
        <v>0</v>
      </c>
      <c r="AH265" s="508">
        <f t="shared" si="105"/>
        <v>200</v>
      </c>
      <c r="AI265" s="508">
        <f t="shared" si="106"/>
        <v>0</v>
      </c>
      <c r="AJ265" s="508">
        <f t="shared" si="107"/>
        <v>29.06</v>
      </c>
      <c r="AK265" s="508">
        <f t="shared" si="108"/>
        <v>200</v>
      </c>
      <c r="AL265" s="116">
        <v>14</v>
      </c>
      <c r="AM265" s="486">
        <f t="shared" si="109"/>
        <v>14.76</v>
      </c>
      <c r="AN265" s="117">
        <f>ROUND((AL265-AM265),0)</f>
        <v>-1</v>
      </c>
      <c r="AO265" s="487">
        <f t="shared" si="110"/>
        <v>-7</v>
      </c>
      <c r="AP265" s="610"/>
    </row>
    <row r="266" spans="1:42" ht="14.25" customHeight="1">
      <c r="A266" s="701">
        <v>260</v>
      </c>
      <c r="B266" s="477"/>
      <c r="C266" s="477" t="s">
        <v>1627</v>
      </c>
      <c r="D266" s="477" t="s">
        <v>1318</v>
      </c>
      <c r="E266" s="475" t="s">
        <v>1453</v>
      </c>
      <c r="F266" s="477"/>
      <c r="G266" s="579" t="s">
        <v>1923</v>
      </c>
      <c r="H266" s="482">
        <v>1</v>
      </c>
      <c r="I266" s="580">
        <v>40544</v>
      </c>
      <c r="J266" s="580">
        <v>37681</v>
      </c>
      <c r="K266" s="581">
        <v>10080</v>
      </c>
      <c r="L266" s="581">
        <v>793.16</v>
      </c>
      <c r="M266" s="582"/>
      <c r="N266" s="582"/>
      <c r="O266" s="582"/>
      <c r="P266" s="582">
        <f t="shared" si="96"/>
        <v>10080</v>
      </c>
      <c r="Q266" s="582">
        <f t="shared" si="97"/>
        <v>793.16</v>
      </c>
      <c r="R266" s="583">
        <f t="shared" si="98"/>
        <v>100</v>
      </c>
      <c r="S266" s="584"/>
      <c r="T266" s="584">
        <v>3</v>
      </c>
      <c r="U266" s="585">
        <f>ROUND(R266*(1-T266/100),0)</f>
        <v>97</v>
      </c>
      <c r="V266" s="586">
        <f t="shared" si="99"/>
        <v>-87.77</v>
      </c>
      <c r="W266" s="611" t="s">
        <v>2074</v>
      </c>
      <c r="X266" s="618">
        <f t="shared" si="92"/>
        <v>10080</v>
      </c>
      <c r="Y266" s="618"/>
      <c r="Z266" s="617">
        <v>100</v>
      </c>
      <c r="AA266" s="361">
        <f t="shared" si="100"/>
        <v>85.47</v>
      </c>
      <c r="AB266" s="597"/>
      <c r="AC266" s="485">
        <f t="shared" si="101"/>
        <v>0</v>
      </c>
      <c r="AD266" s="597"/>
      <c r="AE266" s="485">
        <f t="shared" si="102"/>
        <v>0</v>
      </c>
      <c r="AF266" s="508">
        <f t="shared" si="103"/>
        <v>0</v>
      </c>
      <c r="AG266" s="508">
        <f t="shared" si="104"/>
        <v>0</v>
      </c>
      <c r="AH266" s="508">
        <f t="shared" si="105"/>
        <v>100</v>
      </c>
      <c r="AI266" s="508">
        <f t="shared" si="106"/>
        <v>0</v>
      </c>
      <c r="AJ266" s="508">
        <f t="shared" si="107"/>
        <v>14.53</v>
      </c>
      <c r="AK266" s="508">
        <f t="shared" si="108"/>
        <v>100</v>
      </c>
      <c r="AL266" s="116">
        <v>12</v>
      </c>
      <c r="AM266" s="486">
        <f t="shared" si="109"/>
        <v>14.76</v>
      </c>
      <c r="AN266" s="117">
        <f>ROUND((AL266-AM266),0)</f>
        <v>-3</v>
      </c>
      <c r="AO266" s="487">
        <f t="shared" si="110"/>
        <v>-26</v>
      </c>
      <c r="AP266" s="610"/>
    </row>
    <row r="267" spans="1:42" ht="14.25" customHeight="1">
      <c r="A267" s="701">
        <v>261</v>
      </c>
      <c r="B267" s="477"/>
      <c r="C267" s="477" t="s">
        <v>1627</v>
      </c>
      <c r="D267" s="477" t="s">
        <v>1319</v>
      </c>
      <c r="E267" s="475" t="s">
        <v>1453</v>
      </c>
      <c r="F267" s="477"/>
      <c r="G267" s="579" t="s">
        <v>1923</v>
      </c>
      <c r="H267" s="482">
        <v>1</v>
      </c>
      <c r="I267" s="580">
        <v>40544</v>
      </c>
      <c r="J267" s="580">
        <v>37681</v>
      </c>
      <c r="K267" s="581">
        <v>9280</v>
      </c>
      <c r="L267" s="581">
        <v>763.08</v>
      </c>
      <c r="M267" s="582"/>
      <c r="N267" s="582"/>
      <c r="O267" s="582"/>
      <c r="P267" s="582">
        <f t="shared" si="96"/>
        <v>9280</v>
      </c>
      <c r="Q267" s="582">
        <f t="shared" si="97"/>
        <v>763.08</v>
      </c>
      <c r="R267" s="583">
        <f t="shared" si="98"/>
        <v>100</v>
      </c>
      <c r="S267" s="584"/>
      <c r="T267" s="584">
        <v>3</v>
      </c>
      <c r="U267" s="585">
        <f>ROUND(R267*(1-T267/100),0)</f>
        <v>97</v>
      </c>
      <c r="V267" s="586">
        <f t="shared" si="99"/>
        <v>-87.29</v>
      </c>
      <c r="W267" s="611" t="s">
        <v>2074</v>
      </c>
      <c r="X267" s="618">
        <f t="shared" si="92"/>
        <v>9280</v>
      </c>
      <c r="Y267" s="618"/>
      <c r="Z267" s="617">
        <v>100</v>
      </c>
      <c r="AA267" s="361">
        <f t="shared" si="100"/>
        <v>85.47</v>
      </c>
      <c r="AB267" s="597"/>
      <c r="AC267" s="485">
        <f t="shared" si="101"/>
        <v>0</v>
      </c>
      <c r="AD267" s="597"/>
      <c r="AE267" s="485">
        <f t="shared" si="102"/>
        <v>0</v>
      </c>
      <c r="AF267" s="508">
        <f t="shared" si="103"/>
        <v>0</v>
      </c>
      <c r="AG267" s="508">
        <f t="shared" si="104"/>
        <v>0</v>
      </c>
      <c r="AH267" s="508">
        <f t="shared" si="105"/>
        <v>100</v>
      </c>
      <c r="AI267" s="508">
        <f t="shared" si="106"/>
        <v>0</v>
      </c>
      <c r="AJ267" s="508">
        <f t="shared" si="107"/>
        <v>14.53</v>
      </c>
      <c r="AK267" s="508">
        <f t="shared" si="108"/>
        <v>100</v>
      </c>
      <c r="AL267" s="116">
        <v>12</v>
      </c>
      <c r="AM267" s="486">
        <f t="shared" si="109"/>
        <v>14.76</v>
      </c>
      <c r="AN267" s="117">
        <f>ROUND((AL267-AM267),0)</f>
        <v>-3</v>
      </c>
      <c r="AO267" s="487">
        <f t="shared" si="110"/>
        <v>-26</v>
      </c>
      <c r="AP267" s="610"/>
    </row>
    <row r="268" spans="1:42" ht="14.25" customHeight="1">
      <c r="A268" s="701">
        <v>262</v>
      </c>
      <c r="B268" s="477"/>
      <c r="C268" s="477" t="s">
        <v>1733</v>
      </c>
      <c r="D268" s="477" t="s">
        <v>1320</v>
      </c>
      <c r="E268" s="475" t="s">
        <v>1453</v>
      </c>
      <c r="F268" s="611" t="s">
        <v>2066</v>
      </c>
      <c r="G268" s="579" t="s">
        <v>1923</v>
      </c>
      <c r="H268" s="482">
        <v>1</v>
      </c>
      <c r="I268" s="580">
        <v>40544</v>
      </c>
      <c r="J268" s="580">
        <v>37681</v>
      </c>
      <c r="K268" s="581">
        <v>8928</v>
      </c>
      <c r="L268" s="581">
        <v>2647.6</v>
      </c>
      <c r="M268" s="582"/>
      <c r="N268" s="582"/>
      <c r="O268" s="582"/>
      <c r="P268" s="582">
        <f t="shared" si="96"/>
        <v>8928</v>
      </c>
      <c r="Q268" s="582">
        <f t="shared" si="97"/>
        <v>2647.6</v>
      </c>
      <c r="R268" s="583">
        <f t="shared" si="98"/>
        <v>100</v>
      </c>
      <c r="S268" s="584"/>
      <c r="T268" s="584">
        <v>3</v>
      </c>
      <c r="U268" s="585">
        <f>ROUND(R268*(1-T268/100),0)</f>
        <v>97</v>
      </c>
      <c r="V268" s="586">
        <f t="shared" si="99"/>
        <v>-96.34</v>
      </c>
      <c r="W268" s="611" t="s">
        <v>2074</v>
      </c>
      <c r="X268" s="618">
        <f t="shared" si="92"/>
        <v>8928</v>
      </c>
      <c r="Y268" s="618"/>
      <c r="Z268" s="617">
        <v>100</v>
      </c>
      <c r="AA268" s="361">
        <f t="shared" si="100"/>
        <v>85.47</v>
      </c>
      <c r="AB268" s="597"/>
      <c r="AC268" s="485">
        <f t="shared" si="101"/>
        <v>0</v>
      </c>
      <c r="AD268" s="597"/>
      <c r="AE268" s="485">
        <f t="shared" si="102"/>
        <v>0</v>
      </c>
      <c r="AF268" s="508">
        <f t="shared" si="103"/>
        <v>0</v>
      </c>
      <c r="AG268" s="508">
        <f t="shared" si="104"/>
        <v>0</v>
      </c>
      <c r="AH268" s="508">
        <f t="shared" si="105"/>
        <v>100</v>
      </c>
      <c r="AI268" s="508">
        <f t="shared" si="106"/>
        <v>0</v>
      </c>
      <c r="AJ268" s="508">
        <f t="shared" si="107"/>
        <v>14.53</v>
      </c>
      <c r="AK268" s="508">
        <f t="shared" si="108"/>
        <v>100</v>
      </c>
      <c r="AM268" s="486">
        <f t="shared" si="109"/>
        <v>14.76</v>
      </c>
      <c r="AN268" s="117">
        <f>ROUND((AL268-AM268),0)</f>
        <v>-15</v>
      </c>
      <c r="AO268" s="487">
        <f t="shared" si="110"/>
        <v>6250</v>
      </c>
      <c r="AP268" s="610"/>
    </row>
    <row r="269" spans="1:42" ht="14.25" customHeight="1">
      <c r="A269" s="701">
        <v>263</v>
      </c>
      <c r="B269" s="477"/>
      <c r="C269" s="477" t="s">
        <v>1634</v>
      </c>
      <c r="D269" s="477" t="s">
        <v>1321</v>
      </c>
      <c r="E269" s="475" t="s">
        <v>1453</v>
      </c>
      <c r="F269" s="611" t="s">
        <v>2018</v>
      </c>
      <c r="G269" s="482" t="s">
        <v>1943</v>
      </c>
      <c r="H269" s="482">
        <v>1</v>
      </c>
      <c r="I269" s="580">
        <v>40544</v>
      </c>
      <c r="J269" s="580">
        <v>37681</v>
      </c>
      <c r="K269" s="625">
        <v>630222.96</v>
      </c>
      <c r="L269" s="581">
        <v>232504.32000000001</v>
      </c>
      <c r="M269" s="582"/>
      <c r="N269" s="582"/>
      <c r="O269" s="582"/>
      <c r="P269" s="582">
        <f t="shared" si="96"/>
        <v>630222.96</v>
      </c>
      <c r="Q269" s="582">
        <f t="shared" si="97"/>
        <v>232504.32000000001</v>
      </c>
      <c r="R269" s="583">
        <f t="shared" si="98"/>
        <v>600900</v>
      </c>
      <c r="S269" s="668">
        <f>AP269</f>
        <v>10</v>
      </c>
      <c r="T269" s="584">
        <v>4</v>
      </c>
      <c r="U269" s="585">
        <f>IF(S269="",R269,ROUND(R269*(S269-T269)/100,0))</f>
        <v>36054</v>
      </c>
      <c r="V269" s="586">
        <f t="shared" si="99"/>
        <v>-84.49</v>
      </c>
      <c r="W269" s="477"/>
      <c r="X269" s="618">
        <f t="shared" si="92"/>
        <v>630222.96</v>
      </c>
      <c r="Y269" s="618"/>
      <c r="Z269" s="489">
        <v>703000</v>
      </c>
      <c r="AA269" s="361">
        <f t="shared" si="100"/>
        <v>600854.69999999995</v>
      </c>
      <c r="AB269" s="597"/>
      <c r="AC269" s="485">
        <f t="shared" si="101"/>
        <v>0</v>
      </c>
      <c r="AD269" s="597"/>
      <c r="AE269" s="485">
        <f t="shared" si="102"/>
        <v>0</v>
      </c>
      <c r="AF269" s="508">
        <f t="shared" si="103"/>
        <v>0</v>
      </c>
      <c r="AG269" s="508">
        <f t="shared" si="104"/>
        <v>0</v>
      </c>
      <c r="AH269" s="508">
        <f t="shared" si="105"/>
        <v>703000</v>
      </c>
      <c r="AI269" s="508">
        <f t="shared" si="106"/>
        <v>0</v>
      </c>
      <c r="AJ269" s="508">
        <f t="shared" si="107"/>
        <v>102145.3</v>
      </c>
      <c r="AK269" s="508">
        <f t="shared" si="108"/>
        <v>600900</v>
      </c>
      <c r="AL269" s="116">
        <v>12</v>
      </c>
      <c r="AM269" s="486">
        <f t="shared" si="109"/>
        <v>14.76</v>
      </c>
      <c r="AN269" s="632">
        <v>2</v>
      </c>
      <c r="AO269" s="487">
        <f t="shared" si="110"/>
        <v>12</v>
      </c>
      <c r="AP269" s="669">
        <v>10</v>
      </c>
    </row>
    <row r="270" spans="1:42" ht="14.25" customHeight="1">
      <c r="A270" s="701">
        <v>264</v>
      </c>
      <c r="B270" s="477"/>
      <c r="C270" s="477" t="s">
        <v>1550</v>
      </c>
      <c r="D270" s="477"/>
      <c r="E270" s="475" t="s">
        <v>1453</v>
      </c>
      <c r="F270" s="611" t="s">
        <v>2019</v>
      </c>
      <c r="G270" s="579" t="s">
        <v>1963</v>
      </c>
      <c r="H270" s="482">
        <v>1</v>
      </c>
      <c r="I270" s="580">
        <v>40544</v>
      </c>
      <c r="J270" s="580">
        <v>37681</v>
      </c>
      <c r="K270" s="581">
        <v>2720300.53</v>
      </c>
      <c r="L270" s="581">
        <v>24966.67</v>
      </c>
      <c r="M270" s="582"/>
      <c r="N270" s="582"/>
      <c r="O270" s="582"/>
      <c r="P270" s="582">
        <f t="shared" si="96"/>
        <v>2720300.53</v>
      </c>
      <c r="Q270" s="582">
        <f t="shared" si="97"/>
        <v>24966.67</v>
      </c>
      <c r="R270" s="583">
        <f t="shared" si="98"/>
        <v>0</v>
      </c>
      <c r="S270" s="584"/>
      <c r="T270" s="584"/>
      <c r="U270" s="585">
        <f>IF(S270="",R270,ROUND(R270*S270/100,0))</f>
        <v>0</v>
      </c>
      <c r="V270" s="586">
        <f t="shared" si="99"/>
        <v>-100</v>
      </c>
      <c r="W270" s="611" t="s">
        <v>2079</v>
      </c>
      <c r="X270" s="618">
        <f t="shared" si="92"/>
        <v>2720300.53</v>
      </c>
      <c r="Y270" s="618"/>
      <c r="Z270" s="617">
        <v>0</v>
      </c>
      <c r="AA270" s="361">
        <f t="shared" si="100"/>
        <v>0</v>
      </c>
      <c r="AB270" s="597"/>
      <c r="AC270" s="485">
        <f t="shared" si="101"/>
        <v>0</v>
      </c>
      <c r="AD270" s="597"/>
      <c r="AE270" s="485">
        <f t="shared" si="102"/>
        <v>0</v>
      </c>
      <c r="AF270" s="508">
        <f t="shared" si="103"/>
        <v>0</v>
      </c>
      <c r="AG270" s="508">
        <f t="shared" si="104"/>
        <v>0</v>
      </c>
      <c r="AH270" s="508">
        <f t="shared" si="105"/>
        <v>0</v>
      </c>
      <c r="AI270" s="508">
        <f t="shared" si="106"/>
        <v>0</v>
      </c>
      <c r="AJ270" s="508">
        <f t="shared" si="107"/>
        <v>0</v>
      </c>
      <c r="AK270" s="508">
        <f t="shared" si="108"/>
        <v>0</v>
      </c>
      <c r="AM270" s="486">
        <f t="shared" si="109"/>
        <v>14.76</v>
      </c>
      <c r="AN270" s="117">
        <f t="shared" ref="AN270:AN277" si="111">ROUND((AL270-AM270),0)</f>
        <v>-15</v>
      </c>
      <c r="AO270" s="487">
        <f t="shared" si="110"/>
        <v>6250</v>
      </c>
      <c r="AP270" s="610"/>
    </row>
    <row r="271" spans="1:42" ht="14.25" customHeight="1">
      <c r="A271" s="701">
        <v>265</v>
      </c>
      <c r="B271" s="477"/>
      <c r="C271" s="477" t="s">
        <v>1708</v>
      </c>
      <c r="D271" s="477"/>
      <c r="E271" s="475" t="s">
        <v>1453</v>
      </c>
      <c r="F271" s="477"/>
      <c r="G271" s="482" t="s">
        <v>1943</v>
      </c>
      <c r="H271" s="482">
        <v>1</v>
      </c>
      <c r="I271" s="580">
        <v>40544</v>
      </c>
      <c r="J271" s="580">
        <v>37681</v>
      </c>
      <c r="K271" s="581">
        <v>292110</v>
      </c>
      <c r="L271" s="581">
        <v>42735.040000000001</v>
      </c>
      <c r="M271" s="582"/>
      <c r="N271" s="582"/>
      <c r="O271" s="582"/>
      <c r="P271" s="582">
        <f t="shared" si="96"/>
        <v>292110</v>
      </c>
      <c r="Q271" s="582">
        <f t="shared" si="97"/>
        <v>42735.040000000001</v>
      </c>
      <c r="R271" s="583">
        <f t="shared" si="98"/>
        <v>0</v>
      </c>
      <c r="S271" s="584"/>
      <c r="T271" s="584"/>
      <c r="U271" s="585">
        <f>IF(S271="",R271,ROUND(R271*S271/100,0))</f>
        <v>0</v>
      </c>
      <c r="V271" s="586">
        <f t="shared" si="99"/>
        <v>-100</v>
      </c>
      <c r="W271" s="611" t="s">
        <v>2074</v>
      </c>
      <c r="X271" s="618">
        <f t="shared" si="92"/>
        <v>292110</v>
      </c>
      <c r="Y271" s="618"/>
      <c r="Z271" s="617">
        <v>0</v>
      </c>
      <c r="AA271" s="361">
        <f t="shared" si="100"/>
        <v>0</v>
      </c>
      <c r="AB271" s="597"/>
      <c r="AC271" s="485">
        <f t="shared" si="101"/>
        <v>0</v>
      </c>
      <c r="AD271" s="597"/>
      <c r="AE271" s="485">
        <f t="shared" si="102"/>
        <v>0</v>
      </c>
      <c r="AF271" s="508">
        <f t="shared" si="103"/>
        <v>0</v>
      </c>
      <c r="AG271" s="508">
        <f t="shared" si="104"/>
        <v>0</v>
      </c>
      <c r="AH271" s="508">
        <f t="shared" si="105"/>
        <v>0</v>
      </c>
      <c r="AI271" s="508">
        <f t="shared" si="106"/>
        <v>0</v>
      </c>
      <c r="AJ271" s="508">
        <f t="shared" si="107"/>
        <v>0</v>
      </c>
      <c r="AK271" s="508">
        <f t="shared" si="108"/>
        <v>0</v>
      </c>
      <c r="AM271" s="486">
        <f t="shared" si="109"/>
        <v>14.76</v>
      </c>
      <c r="AN271" s="117">
        <f t="shared" si="111"/>
        <v>-15</v>
      </c>
      <c r="AO271" s="487">
        <f t="shared" si="110"/>
        <v>6250</v>
      </c>
      <c r="AP271" s="610"/>
    </row>
    <row r="272" spans="1:42" ht="14.25" customHeight="1">
      <c r="A272" s="701">
        <v>266</v>
      </c>
      <c r="B272" s="477"/>
      <c r="C272" s="611" t="s">
        <v>2348</v>
      </c>
      <c r="D272" s="477"/>
      <c r="E272" s="475" t="s">
        <v>1453</v>
      </c>
      <c r="F272" s="611" t="s">
        <v>2029</v>
      </c>
      <c r="G272" s="482" t="s">
        <v>1943</v>
      </c>
      <c r="H272" s="482">
        <v>1</v>
      </c>
      <c r="I272" s="580">
        <v>41626</v>
      </c>
      <c r="J272" s="580">
        <v>41626</v>
      </c>
      <c r="K272" s="616">
        <v>633726.53</v>
      </c>
      <c r="L272" s="616">
        <v>123243.83</v>
      </c>
      <c r="M272" s="704" t="s">
        <v>2346</v>
      </c>
      <c r="N272" s="582"/>
      <c r="O272" s="582"/>
      <c r="P272" s="582">
        <f t="shared" si="96"/>
        <v>633726.53</v>
      </c>
      <c r="Q272" s="582">
        <f t="shared" si="97"/>
        <v>123243.83</v>
      </c>
      <c r="R272" s="583">
        <f t="shared" si="98"/>
        <v>495700</v>
      </c>
      <c r="S272" s="668">
        <f>AP272</f>
        <v>24</v>
      </c>
      <c r="T272" s="584">
        <v>3</v>
      </c>
      <c r="U272" s="585">
        <f>IF(S272="",R272,ROUND(R272*(S272-T272)/100,0))</f>
        <v>104097</v>
      </c>
      <c r="V272" s="586">
        <f t="shared" si="99"/>
        <v>-15.54</v>
      </c>
      <c r="W272" s="477"/>
      <c r="X272" s="619">
        <f>P272*1.17/H272</f>
        <v>741460.04</v>
      </c>
      <c r="Y272" s="618"/>
      <c r="Z272" s="624">
        <v>580000</v>
      </c>
      <c r="AA272" s="361">
        <f t="shared" si="100"/>
        <v>495726.5</v>
      </c>
      <c r="AB272" s="597"/>
      <c r="AC272" s="485">
        <f t="shared" si="101"/>
        <v>0</v>
      </c>
      <c r="AD272" s="597"/>
      <c r="AE272" s="485">
        <f t="shared" si="102"/>
        <v>0</v>
      </c>
      <c r="AF272" s="508">
        <f t="shared" si="103"/>
        <v>0</v>
      </c>
      <c r="AG272" s="508">
        <f t="shared" si="104"/>
        <v>0</v>
      </c>
      <c r="AH272" s="508">
        <f t="shared" si="105"/>
        <v>580000</v>
      </c>
      <c r="AI272" s="508">
        <f t="shared" si="106"/>
        <v>0</v>
      </c>
      <c r="AJ272" s="508">
        <f t="shared" si="107"/>
        <v>84273.5</v>
      </c>
      <c r="AK272" s="508">
        <f t="shared" si="108"/>
        <v>495700</v>
      </c>
      <c r="AL272" s="116">
        <v>14</v>
      </c>
      <c r="AM272" s="486">
        <f t="shared" si="109"/>
        <v>3.95</v>
      </c>
      <c r="AN272" s="117">
        <f t="shared" si="111"/>
        <v>10</v>
      </c>
      <c r="AO272" s="487">
        <f t="shared" si="110"/>
        <v>72</v>
      </c>
      <c r="AP272" s="610">
        <v>24</v>
      </c>
    </row>
    <row r="273" spans="1:42" ht="14.25" customHeight="1">
      <c r="A273" s="701">
        <v>267</v>
      </c>
      <c r="B273" s="477"/>
      <c r="C273" s="477" t="s">
        <v>1710</v>
      </c>
      <c r="D273" s="477"/>
      <c r="E273" s="475" t="s">
        <v>1453</v>
      </c>
      <c r="F273" s="611" t="s">
        <v>2020</v>
      </c>
      <c r="G273" s="579" t="s">
        <v>1967</v>
      </c>
      <c r="H273" s="482">
        <v>1</v>
      </c>
      <c r="I273" s="580">
        <v>40544</v>
      </c>
      <c r="J273" s="580">
        <v>37681</v>
      </c>
      <c r="K273" s="581">
        <v>152321.9</v>
      </c>
      <c r="L273" s="581">
        <v>1976.07</v>
      </c>
      <c r="M273" s="582"/>
      <c r="N273" s="582"/>
      <c r="O273" s="582"/>
      <c r="P273" s="582">
        <f t="shared" si="96"/>
        <v>152321.9</v>
      </c>
      <c r="Q273" s="582">
        <f t="shared" si="97"/>
        <v>1976.07</v>
      </c>
      <c r="R273" s="583">
        <f t="shared" si="98"/>
        <v>11100</v>
      </c>
      <c r="S273" s="584"/>
      <c r="T273" s="584">
        <v>6</v>
      </c>
      <c r="U273" s="585">
        <f>ROUND(R273*(1-T273/100),0)</f>
        <v>10434</v>
      </c>
      <c r="V273" s="586">
        <f t="shared" si="99"/>
        <v>428.02</v>
      </c>
      <c r="W273" s="611" t="s">
        <v>2074</v>
      </c>
      <c r="X273" s="618">
        <f t="shared" ref="X273:X304" si="112">P273/H273</f>
        <v>152321.9</v>
      </c>
      <c r="Y273" s="618">
        <v>10</v>
      </c>
      <c r="Z273" s="617">
        <f>Z$4*Y273</f>
        <v>13000</v>
      </c>
      <c r="AA273" s="361">
        <f t="shared" si="100"/>
        <v>11111.11</v>
      </c>
      <c r="AB273" s="597"/>
      <c r="AC273" s="485">
        <f t="shared" si="101"/>
        <v>0</v>
      </c>
      <c r="AD273" s="597"/>
      <c r="AE273" s="485">
        <f t="shared" si="102"/>
        <v>0</v>
      </c>
      <c r="AF273" s="508">
        <f t="shared" si="103"/>
        <v>0</v>
      </c>
      <c r="AG273" s="508">
        <f t="shared" si="104"/>
        <v>0</v>
      </c>
      <c r="AH273" s="508">
        <f t="shared" si="105"/>
        <v>13000</v>
      </c>
      <c r="AI273" s="508">
        <f t="shared" si="106"/>
        <v>0</v>
      </c>
      <c r="AJ273" s="508">
        <f t="shared" si="107"/>
        <v>1888.89</v>
      </c>
      <c r="AK273" s="508">
        <f t="shared" si="108"/>
        <v>11100</v>
      </c>
      <c r="AM273" s="486">
        <f t="shared" si="109"/>
        <v>14.76</v>
      </c>
      <c r="AN273" s="117">
        <f t="shared" si="111"/>
        <v>-15</v>
      </c>
      <c r="AO273" s="487">
        <f t="shared" si="110"/>
        <v>6250</v>
      </c>
      <c r="AP273" s="610"/>
    </row>
    <row r="274" spans="1:42" ht="14.25" customHeight="1">
      <c r="A274" s="701">
        <v>268</v>
      </c>
      <c r="B274" s="477"/>
      <c r="C274" s="477" t="s">
        <v>1716</v>
      </c>
      <c r="D274" s="477" t="s">
        <v>1322</v>
      </c>
      <c r="E274" s="475" t="s">
        <v>1453</v>
      </c>
      <c r="F274" s="477"/>
      <c r="G274" s="482" t="s">
        <v>1943</v>
      </c>
      <c r="H274" s="482">
        <v>1</v>
      </c>
      <c r="I274" s="580">
        <v>40544</v>
      </c>
      <c r="J274" s="580">
        <v>37681</v>
      </c>
      <c r="K274" s="581">
        <v>6460</v>
      </c>
      <c r="L274" s="581">
        <v>52.78</v>
      </c>
      <c r="M274" s="582"/>
      <c r="N274" s="582"/>
      <c r="O274" s="582"/>
      <c r="P274" s="582">
        <f t="shared" si="96"/>
        <v>6460</v>
      </c>
      <c r="Q274" s="582">
        <f t="shared" si="97"/>
        <v>52.78</v>
      </c>
      <c r="R274" s="583">
        <f t="shared" si="98"/>
        <v>0</v>
      </c>
      <c r="S274" s="584"/>
      <c r="T274" s="584"/>
      <c r="U274" s="585">
        <f>ROUND(R274*(1-T274/100),0)</f>
        <v>0</v>
      </c>
      <c r="V274" s="586">
        <f t="shared" si="99"/>
        <v>-100</v>
      </c>
      <c r="W274" s="611" t="s">
        <v>2074</v>
      </c>
      <c r="X274" s="618">
        <f t="shared" si="112"/>
        <v>6460</v>
      </c>
      <c r="Y274" s="618"/>
      <c r="Z274" s="617">
        <v>0</v>
      </c>
      <c r="AA274" s="361">
        <f t="shared" si="100"/>
        <v>0</v>
      </c>
      <c r="AB274" s="597"/>
      <c r="AC274" s="485">
        <f t="shared" si="101"/>
        <v>0</v>
      </c>
      <c r="AD274" s="597"/>
      <c r="AE274" s="485">
        <f t="shared" si="102"/>
        <v>0</v>
      </c>
      <c r="AF274" s="508">
        <f t="shared" si="103"/>
        <v>0</v>
      </c>
      <c r="AG274" s="508">
        <f t="shared" si="104"/>
        <v>0</v>
      </c>
      <c r="AH274" s="508">
        <f t="shared" si="105"/>
        <v>0</v>
      </c>
      <c r="AI274" s="508">
        <f t="shared" si="106"/>
        <v>0</v>
      </c>
      <c r="AJ274" s="508">
        <f t="shared" si="107"/>
        <v>0</v>
      </c>
      <c r="AK274" s="508">
        <f t="shared" si="108"/>
        <v>0</v>
      </c>
      <c r="AL274" s="116">
        <v>6</v>
      </c>
      <c r="AM274" s="486">
        <f t="shared" si="109"/>
        <v>14.76</v>
      </c>
      <c r="AN274" s="117">
        <f t="shared" si="111"/>
        <v>-9</v>
      </c>
      <c r="AO274" s="487">
        <f t="shared" si="110"/>
        <v>-156</v>
      </c>
      <c r="AP274" s="610"/>
    </row>
    <row r="275" spans="1:42" ht="14.25" customHeight="1">
      <c r="A275" s="701">
        <v>269</v>
      </c>
      <c r="B275" s="477"/>
      <c r="C275" s="477" t="s">
        <v>1659</v>
      </c>
      <c r="D275" s="477" t="s">
        <v>1323</v>
      </c>
      <c r="E275" s="475" t="s">
        <v>1453</v>
      </c>
      <c r="F275" s="477"/>
      <c r="G275" s="579" t="s">
        <v>1965</v>
      </c>
      <c r="H275" s="482">
        <v>1</v>
      </c>
      <c r="I275" s="580">
        <v>40544</v>
      </c>
      <c r="J275" s="580">
        <v>37681</v>
      </c>
      <c r="K275" s="581">
        <v>3325</v>
      </c>
      <c r="L275" s="581">
        <v>0</v>
      </c>
      <c r="M275" s="582"/>
      <c r="N275" s="582"/>
      <c r="O275" s="582"/>
      <c r="P275" s="582">
        <f t="shared" si="96"/>
        <v>3325</v>
      </c>
      <c r="Q275" s="582">
        <f t="shared" si="97"/>
        <v>0</v>
      </c>
      <c r="R275" s="583">
        <f t="shared" si="98"/>
        <v>0</v>
      </c>
      <c r="S275" s="584"/>
      <c r="T275" s="584"/>
      <c r="U275" s="585">
        <f>ROUND(R275*(1-T275/100),0)</f>
        <v>0</v>
      </c>
      <c r="V275" s="586" t="str">
        <f t="shared" si="99"/>
        <v/>
      </c>
      <c r="W275" s="611" t="s">
        <v>2074</v>
      </c>
      <c r="X275" s="618">
        <f t="shared" si="112"/>
        <v>3325</v>
      </c>
      <c r="Y275" s="618"/>
      <c r="Z275" s="617">
        <v>0</v>
      </c>
      <c r="AA275" s="361">
        <f t="shared" si="100"/>
        <v>0</v>
      </c>
      <c r="AB275" s="597"/>
      <c r="AC275" s="485">
        <f t="shared" si="101"/>
        <v>0</v>
      </c>
      <c r="AD275" s="597"/>
      <c r="AE275" s="485">
        <f t="shared" si="102"/>
        <v>0</v>
      </c>
      <c r="AF275" s="508">
        <f t="shared" si="103"/>
        <v>0</v>
      </c>
      <c r="AG275" s="508">
        <f t="shared" si="104"/>
        <v>0</v>
      </c>
      <c r="AH275" s="508">
        <f t="shared" si="105"/>
        <v>0</v>
      </c>
      <c r="AI275" s="508">
        <f t="shared" si="106"/>
        <v>0</v>
      </c>
      <c r="AJ275" s="508">
        <f t="shared" si="107"/>
        <v>0</v>
      </c>
      <c r="AK275" s="508">
        <f t="shared" si="108"/>
        <v>0</v>
      </c>
      <c r="AM275" s="486">
        <f t="shared" si="109"/>
        <v>14.76</v>
      </c>
      <c r="AN275" s="117">
        <f t="shared" si="111"/>
        <v>-15</v>
      </c>
      <c r="AO275" s="487">
        <f t="shared" si="110"/>
        <v>6250</v>
      </c>
      <c r="AP275" s="610"/>
    </row>
    <row r="276" spans="1:42" ht="14.25" customHeight="1">
      <c r="A276" s="701">
        <v>270</v>
      </c>
      <c r="B276" s="477"/>
      <c r="C276" s="477" t="s">
        <v>1659</v>
      </c>
      <c r="D276" s="477" t="s">
        <v>1323</v>
      </c>
      <c r="E276" s="475" t="s">
        <v>1453</v>
      </c>
      <c r="F276" s="477"/>
      <c r="G276" s="579" t="s">
        <v>1965</v>
      </c>
      <c r="H276" s="482">
        <v>1</v>
      </c>
      <c r="I276" s="580">
        <v>40544</v>
      </c>
      <c r="J276" s="580">
        <v>37681</v>
      </c>
      <c r="K276" s="581">
        <v>3325</v>
      </c>
      <c r="L276" s="581">
        <v>0</v>
      </c>
      <c r="M276" s="582"/>
      <c r="N276" s="582"/>
      <c r="O276" s="582"/>
      <c r="P276" s="582">
        <f t="shared" si="96"/>
        <v>3325</v>
      </c>
      <c r="Q276" s="582">
        <f t="shared" si="97"/>
        <v>0</v>
      </c>
      <c r="R276" s="583">
        <f t="shared" si="98"/>
        <v>0</v>
      </c>
      <c r="S276" s="584"/>
      <c r="T276" s="584"/>
      <c r="U276" s="585">
        <f>ROUND(R276*(1-T276/100),0)</f>
        <v>0</v>
      </c>
      <c r="V276" s="586" t="str">
        <f t="shared" si="99"/>
        <v/>
      </c>
      <c r="W276" s="611" t="s">
        <v>2074</v>
      </c>
      <c r="X276" s="618">
        <f t="shared" si="112"/>
        <v>3325</v>
      </c>
      <c r="Y276" s="618"/>
      <c r="Z276" s="617">
        <v>0</v>
      </c>
      <c r="AA276" s="361">
        <f t="shared" si="100"/>
        <v>0</v>
      </c>
      <c r="AB276" s="597"/>
      <c r="AC276" s="485">
        <f t="shared" si="101"/>
        <v>0</v>
      </c>
      <c r="AD276" s="597"/>
      <c r="AE276" s="485">
        <f t="shared" si="102"/>
        <v>0</v>
      </c>
      <c r="AF276" s="508">
        <f t="shared" si="103"/>
        <v>0</v>
      </c>
      <c r="AG276" s="508">
        <f t="shared" si="104"/>
        <v>0</v>
      </c>
      <c r="AH276" s="508">
        <f t="shared" si="105"/>
        <v>0</v>
      </c>
      <c r="AI276" s="508">
        <f t="shared" si="106"/>
        <v>0</v>
      </c>
      <c r="AJ276" s="508">
        <f t="shared" si="107"/>
        <v>0</v>
      </c>
      <c r="AK276" s="508">
        <f t="shared" si="108"/>
        <v>0</v>
      </c>
      <c r="AM276" s="486">
        <f t="shared" si="109"/>
        <v>14.76</v>
      </c>
      <c r="AN276" s="117">
        <f t="shared" si="111"/>
        <v>-15</v>
      </c>
      <c r="AO276" s="487">
        <f t="shared" si="110"/>
        <v>6250</v>
      </c>
      <c r="AP276" s="610"/>
    </row>
    <row r="277" spans="1:42" ht="14.25" customHeight="1">
      <c r="A277" s="701">
        <v>271</v>
      </c>
      <c r="B277" s="477"/>
      <c r="C277" s="477" t="s">
        <v>1553</v>
      </c>
      <c r="D277" s="477" t="s">
        <v>1324</v>
      </c>
      <c r="E277" s="475" t="s">
        <v>1453</v>
      </c>
      <c r="F277" s="477"/>
      <c r="G277" s="579" t="s">
        <v>1967</v>
      </c>
      <c r="H277" s="482">
        <v>1</v>
      </c>
      <c r="I277" s="580">
        <v>40544</v>
      </c>
      <c r="J277" s="580">
        <v>37681</v>
      </c>
      <c r="K277" s="581">
        <v>6460</v>
      </c>
      <c r="L277" s="581">
        <v>3788.8</v>
      </c>
      <c r="M277" s="582"/>
      <c r="N277" s="582"/>
      <c r="O277" s="582"/>
      <c r="P277" s="582">
        <f t="shared" si="96"/>
        <v>6460</v>
      </c>
      <c r="Q277" s="582">
        <f t="shared" si="97"/>
        <v>3788.8</v>
      </c>
      <c r="R277" s="583">
        <f t="shared" si="98"/>
        <v>0</v>
      </c>
      <c r="S277" s="584"/>
      <c r="T277" s="584"/>
      <c r="U277" s="585">
        <f>ROUND(R277*(1-T277/100),0)</f>
        <v>0</v>
      </c>
      <c r="V277" s="586">
        <f t="shared" si="99"/>
        <v>-100</v>
      </c>
      <c r="W277" s="611" t="s">
        <v>2074</v>
      </c>
      <c r="X277" s="618">
        <f t="shared" si="112"/>
        <v>6460</v>
      </c>
      <c r="Y277" s="618"/>
      <c r="Z277" s="617">
        <v>0</v>
      </c>
      <c r="AA277" s="361">
        <f t="shared" si="100"/>
        <v>0</v>
      </c>
      <c r="AB277" s="597"/>
      <c r="AC277" s="485">
        <f t="shared" si="101"/>
        <v>0</v>
      </c>
      <c r="AD277" s="597"/>
      <c r="AE277" s="485">
        <f t="shared" si="102"/>
        <v>0</v>
      </c>
      <c r="AF277" s="508">
        <f t="shared" si="103"/>
        <v>0</v>
      </c>
      <c r="AG277" s="508">
        <f t="shared" si="104"/>
        <v>0</v>
      </c>
      <c r="AH277" s="508">
        <f t="shared" si="105"/>
        <v>0</v>
      </c>
      <c r="AI277" s="508">
        <f t="shared" si="106"/>
        <v>0</v>
      </c>
      <c r="AJ277" s="508">
        <f t="shared" si="107"/>
        <v>0</v>
      </c>
      <c r="AK277" s="508">
        <f t="shared" si="108"/>
        <v>0</v>
      </c>
      <c r="AL277" s="116">
        <v>6</v>
      </c>
      <c r="AM277" s="486">
        <f t="shared" si="109"/>
        <v>14.76</v>
      </c>
      <c r="AN277" s="117">
        <f t="shared" si="111"/>
        <v>-9</v>
      </c>
      <c r="AO277" s="487">
        <f t="shared" si="110"/>
        <v>-156</v>
      </c>
      <c r="AP277" s="610"/>
    </row>
    <row r="278" spans="1:42" ht="14.25" customHeight="1">
      <c r="A278" s="701">
        <v>272</v>
      </c>
      <c r="B278" s="477"/>
      <c r="C278" s="477" t="s">
        <v>1519</v>
      </c>
      <c r="D278" s="477" t="s">
        <v>1325</v>
      </c>
      <c r="E278" s="475" t="s">
        <v>1453</v>
      </c>
      <c r="F278" s="611" t="s">
        <v>2018</v>
      </c>
      <c r="G278" s="482" t="s">
        <v>1943</v>
      </c>
      <c r="H278" s="482">
        <v>1</v>
      </c>
      <c r="I278" s="580">
        <v>40544</v>
      </c>
      <c r="J278" s="580">
        <v>37681</v>
      </c>
      <c r="K278" s="625">
        <v>522617.62</v>
      </c>
      <c r="L278" s="581">
        <v>0</v>
      </c>
      <c r="M278" s="582"/>
      <c r="N278" s="582"/>
      <c r="O278" s="582"/>
      <c r="P278" s="582">
        <f t="shared" si="96"/>
        <v>522617.62</v>
      </c>
      <c r="Q278" s="582">
        <f t="shared" si="97"/>
        <v>0</v>
      </c>
      <c r="R278" s="583">
        <f t="shared" si="98"/>
        <v>498300</v>
      </c>
      <c r="S278" s="668">
        <f>AP278</f>
        <v>10</v>
      </c>
      <c r="T278" s="584">
        <v>4</v>
      </c>
      <c r="U278" s="585">
        <f>IF(S278="",R278,ROUND(R278*(S278-T278)/100,0))</f>
        <v>29898</v>
      </c>
      <c r="V278" s="586" t="str">
        <f t="shared" si="99"/>
        <v/>
      </c>
      <c r="W278" s="477"/>
      <c r="X278" s="618">
        <f t="shared" si="112"/>
        <v>522617.62</v>
      </c>
      <c r="Y278" s="618"/>
      <c r="Z278" s="489">
        <v>583000</v>
      </c>
      <c r="AA278" s="361">
        <f t="shared" si="100"/>
        <v>498290.6</v>
      </c>
      <c r="AB278" s="597"/>
      <c r="AC278" s="485">
        <f t="shared" si="101"/>
        <v>0</v>
      </c>
      <c r="AD278" s="597"/>
      <c r="AE278" s="485">
        <f t="shared" si="102"/>
        <v>0</v>
      </c>
      <c r="AF278" s="508">
        <f t="shared" si="103"/>
        <v>0</v>
      </c>
      <c r="AG278" s="508">
        <f t="shared" si="104"/>
        <v>0</v>
      </c>
      <c r="AH278" s="508">
        <f t="shared" si="105"/>
        <v>583000</v>
      </c>
      <c r="AI278" s="508">
        <f t="shared" si="106"/>
        <v>0</v>
      </c>
      <c r="AJ278" s="508">
        <f t="shared" si="107"/>
        <v>84709.4</v>
      </c>
      <c r="AK278" s="508">
        <f t="shared" si="108"/>
        <v>498300</v>
      </c>
      <c r="AL278" s="116">
        <v>12</v>
      </c>
      <c r="AM278" s="486">
        <f t="shared" si="109"/>
        <v>14.76</v>
      </c>
      <c r="AN278" s="632">
        <v>2</v>
      </c>
      <c r="AO278" s="487">
        <f t="shared" si="110"/>
        <v>12</v>
      </c>
      <c r="AP278" s="669">
        <v>10</v>
      </c>
    </row>
    <row r="279" spans="1:42" ht="14.25" customHeight="1">
      <c r="A279" s="701">
        <v>273</v>
      </c>
      <c r="B279" s="477"/>
      <c r="C279" s="477" t="s">
        <v>1585</v>
      </c>
      <c r="D279" s="477" t="s">
        <v>1326</v>
      </c>
      <c r="E279" s="475" t="s">
        <v>1453</v>
      </c>
      <c r="F279" s="611" t="s">
        <v>2020</v>
      </c>
      <c r="G279" s="579" t="s">
        <v>1965</v>
      </c>
      <c r="H279" s="482">
        <v>1</v>
      </c>
      <c r="I279" s="580">
        <v>40544</v>
      </c>
      <c r="J279" s="580">
        <v>37681</v>
      </c>
      <c r="K279" s="581">
        <v>262476.64</v>
      </c>
      <c r="L279" s="581">
        <v>31188.59</v>
      </c>
      <c r="M279" s="582"/>
      <c r="N279" s="582"/>
      <c r="O279" s="582"/>
      <c r="P279" s="582">
        <f t="shared" si="96"/>
        <v>262476.64</v>
      </c>
      <c r="Q279" s="582">
        <f t="shared" si="97"/>
        <v>31188.59</v>
      </c>
      <c r="R279" s="583">
        <f t="shared" si="98"/>
        <v>250400</v>
      </c>
      <c r="S279" s="668">
        <f>AP279</f>
        <v>10</v>
      </c>
      <c r="T279" s="584">
        <v>5</v>
      </c>
      <c r="U279" s="585">
        <f>IF(S279="",R279,ROUND(R279*(S279-T279)/100,0))</f>
        <v>12520</v>
      </c>
      <c r="V279" s="586">
        <f t="shared" si="99"/>
        <v>-59.86</v>
      </c>
      <c r="W279" s="477"/>
      <c r="X279" s="618">
        <f t="shared" si="112"/>
        <v>262476.64</v>
      </c>
      <c r="Y279" s="618"/>
      <c r="Z279" s="489">
        <v>293000</v>
      </c>
      <c r="AA279" s="361">
        <f t="shared" si="100"/>
        <v>250427.35</v>
      </c>
      <c r="AB279" s="597"/>
      <c r="AC279" s="485">
        <f t="shared" si="101"/>
        <v>0</v>
      </c>
      <c r="AD279" s="597"/>
      <c r="AE279" s="485">
        <f t="shared" si="102"/>
        <v>0</v>
      </c>
      <c r="AF279" s="508">
        <f t="shared" si="103"/>
        <v>0</v>
      </c>
      <c r="AG279" s="508">
        <f t="shared" si="104"/>
        <v>0</v>
      </c>
      <c r="AH279" s="508">
        <f t="shared" si="105"/>
        <v>293000</v>
      </c>
      <c r="AI279" s="508">
        <f t="shared" si="106"/>
        <v>0</v>
      </c>
      <c r="AJ279" s="508">
        <f t="shared" si="107"/>
        <v>42572.65</v>
      </c>
      <c r="AK279" s="508">
        <f t="shared" si="108"/>
        <v>250400</v>
      </c>
      <c r="AL279" s="116">
        <v>12</v>
      </c>
      <c r="AM279" s="486">
        <f t="shared" si="109"/>
        <v>14.76</v>
      </c>
      <c r="AN279" s="632">
        <v>2</v>
      </c>
      <c r="AO279" s="487">
        <f t="shared" si="110"/>
        <v>12</v>
      </c>
      <c r="AP279" s="669">
        <v>10</v>
      </c>
    </row>
    <row r="280" spans="1:42" ht="14.25" customHeight="1">
      <c r="A280" s="701">
        <v>274</v>
      </c>
      <c r="B280" s="477"/>
      <c r="C280" s="477" t="s">
        <v>1712</v>
      </c>
      <c r="D280" s="477" t="s">
        <v>1327</v>
      </c>
      <c r="E280" s="475" t="s">
        <v>1453</v>
      </c>
      <c r="F280" s="611" t="s">
        <v>2020</v>
      </c>
      <c r="G280" s="482" t="s">
        <v>1943</v>
      </c>
      <c r="H280" s="482">
        <v>1</v>
      </c>
      <c r="I280" s="580">
        <v>40544</v>
      </c>
      <c r="J280" s="580">
        <v>37681</v>
      </c>
      <c r="K280" s="581">
        <v>364906.54</v>
      </c>
      <c r="L280" s="581">
        <v>82257.87</v>
      </c>
      <c r="M280" s="582"/>
      <c r="N280" s="582"/>
      <c r="O280" s="582"/>
      <c r="P280" s="582">
        <f t="shared" si="96"/>
        <v>364906.54</v>
      </c>
      <c r="Q280" s="582">
        <f t="shared" si="97"/>
        <v>82257.87</v>
      </c>
      <c r="R280" s="583">
        <f t="shared" si="98"/>
        <v>347900</v>
      </c>
      <c r="S280" s="668">
        <f>AP280</f>
        <v>10</v>
      </c>
      <c r="T280" s="584">
        <v>5</v>
      </c>
      <c r="U280" s="585">
        <f>IF(S280="",R280,ROUND(R280*(S280-T280)/100,0))</f>
        <v>17395</v>
      </c>
      <c r="V280" s="586">
        <f t="shared" si="99"/>
        <v>-78.849999999999994</v>
      </c>
      <c r="W280" s="477"/>
      <c r="X280" s="618">
        <f t="shared" si="112"/>
        <v>364906.54</v>
      </c>
      <c r="Y280" s="618"/>
      <c r="Z280" s="489">
        <v>407000</v>
      </c>
      <c r="AA280" s="361">
        <f t="shared" si="100"/>
        <v>347863.25</v>
      </c>
      <c r="AB280" s="597"/>
      <c r="AC280" s="485">
        <f t="shared" si="101"/>
        <v>0</v>
      </c>
      <c r="AD280" s="597"/>
      <c r="AE280" s="485">
        <f t="shared" si="102"/>
        <v>0</v>
      </c>
      <c r="AF280" s="508">
        <f t="shared" si="103"/>
        <v>0</v>
      </c>
      <c r="AG280" s="508">
        <f t="shared" si="104"/>
        <v>0</v>
      </c>
      <c r="AH280" s="508">
        <f t="shared" si="105"/>
        <v>407000</v>
      </c>
      <c r="AI280" s="508">
        <f t="shared" si="106"/>
        <v>0</v>
      </c>
      <c r="AJ280" s="508">
        <f t="shared" si="107"/>
        <v>59136.75</v>
      </c>
      <c r="AK280" s="508">
        <f t="shared" si="108"/>
        <v>347900</v>
      </c>
      <c r="AL280" s="116">
        <v>14</v>
      </c>
      <c r="AM280" s="486">
        <f t="shared" si="109"/>
        <v>14.76</v>
      </c>
      <c r="AN280" s="632">
        <v>2</v>
      </c>
      <c r="AO280" s="487">
        <f t="shared" si="110"/>
        <v>12</v>
      </c>
      <c r="AP280" s="669">
        <v>10</v>
      </c>
    </row>
    <row r="281" spans="1:42" ht="14.25" customHeight="1">
      <c r="A281" s="701">
        <v>275</v>
      </c>
      <c r="B281" s="477"/>
      <c r="C281" s="477" t="s">
        <v>1580</v>
      </c>
      <c r="D281" s="477" t="s">
        <v>1328</v>
      </c>
      <c r="E281" s="475" t="s">
        <v>1453</v>
      </c>
      <c r="F281" s="611" t="s">
        <v>2020</v>
      </c>
      <c r="G281" s="579" t="s">
        <v>1965</v>
      </c>
      <c r="H281" s="482">
        <v>1</v>
      </c>
      <c r="I281" s="580">
        <v>40544</v>
      </c>
      <c r="J281" s="580">
        <v>37681</v>
      </c>
      <c r="K281" s="581">
        <v>962417.1</v>
      </c>
      <c r="L281" s="581">
        <v>63471.519999999997</v>
      </c>
      <c r="M281" s="582"/>
      <c r="N281" s="582"/>
      <c r="O281" s="582"/>
      <c r="P281" s="582">
        <f t="shared" si="96"/>
        <v>962417.1</v>
      </c>
      <c r="Q281" s="582">
        <f t="shared" si="97"/>
        <v>63471.519999999997</v>
      </c>
      <c r="R281" s="583">
        <f t="shared" si="98"/>
        <v>692300</v>
      </c>
      <c r="S281" s="668">
        <f>AP281</f>
        <v>10</v>
      </c>
      <c r="T281" s="584">
        <v>5</v>
      </c>
      <c r="U281" s="585">
        <f>IF(S281="",R281,ROUND(R281*(S281-T281)/100,0))</f>
        <v>34615</v>
      </c>
      <c r="V281" s="586">
        <f t="shared" si="99"/>
        <v>-45.46</v>
      </c>
      <c r="W281" s="477"/>
      <c r="X281" s="618">
        <f t="shared" si="112"/>
        <v>962417.1</v>
      </c>
      <c r="Y281" s="618"/>
      <c r="Z281" s="624">
        <v>810000</v>
      </c>
      <c r="AA281" s="361">
        <f t="shared" si="100"/>
        <v>692307.69</v>
      </c>
      <c r="AB281" s="597"/>
      <c r="AC281" s="485">
        <f t="shared" si="101"/>
        <v>0</v>
      </c>
      <c r="AD281" s="597"/>
      <c r="AE281" s="485">
        <f t="shared" si="102"/>
        <v>0</v>
      </c>
      <c r="AF281" s="508">
        <f t="shared" si="103"/>
        <v>0</v>
      </c>
      <c r="AG281" s="508">
        <f t="shared" si="104"/>
        <v>0</v>
      </c>
      <c r="AH281" s="508">
        <f t="shared" si="105"/>
        <v>810000</v>
      </c>
      <c r="AI281" s="508">
        <f t="shared" si="106"/>
        <v>0</v>
      </c>
      <c r="AJ281" s="508">
        <f t="shared" si="107"/>
        <v>117692.31</v>
      </c>
      <c r="AK281" s="508">
        <f t="shared" si="108"/>
        <v>692300</v>
      </c>
      <c r="AL281" s="116">
        <v>12</v>
      </c>
      <c r="AM281" s="486">
        <f t="shared" si="109"/>
        <v>14.76</v>
      </c>
      <c r="AN281" s="632">
        <v>2</v>
      </c>
      <c r="AO281" s="487">
        <f t="shared" si="110"/>
        <v>12</v>
      </c>
      <c r="AP281" s="669">
        <v>10</v>
      </c>
    </row>
    <row r="282" spans="1:42" ht="14.25" customHeight="1">
      <c r="A282" s="701">
        <v>276</v>
      </c>
      <c r="B282" s="477"/>
      <c r="C282" s="477" t="s">
        <v>1770</v>
      </c>
      <c r="D282" s="477" t="s">
        <v>1329</v>
      </c>
      <c r="E282" s="475" t="s">
        <v>1453</v>
      </c>
      <c r="F282" s="611" t="s">
        <v>2020</v>
      </c>
      <c r="G282" s="579" t="s">
        <v>1965</v>
      </c>
      <c r="H282" s="482">
        <v>1</v>
      </c>
      <c r="I282" s="580">
        <v>40544</v>
      </c>
      <c r="J282" s="580">
        <v>37681</v>
      </c>
      <c r="K282" s="581">
        <v>742616.82</v>
      </c>
      <c r="L282" s="581">
        <v>2564.1</v>
      </c>
      <c r="M282" s="582"/>
      <c r="N282" s="582"/>
      <c r="O282" s="582"/>
      <c r="P282" s="582">
        <f t="shared" si="96"/>
        <v>742616.82</v>
      </c>
      <c r="Q282" s="582">
        <f t="shared" si="97"/>
        <v>2564.1</v>
      </c>
      <c r="R282" s="583">
        <f t="shared" si="98"/>
        <v>708500</v>
      </c>
      <c r="S282" s="668">
        <f>AP282</f>
        <v>10</v>
      </c>
      <c r="T282" s="584">
        <v>5</v>
      </c>
      <c r="U282" s="585">
        <f>IF(S282="",R282,ROUND(R282*(S282-T282)/100,0))</f>
        <v>35425</v>
      </c>
      <c r="V282" s="586">
        <f t="shared" si="99"/>
        <v>1281.58</v>
      </c>
      <c r="W282" s="477"/>
      <c r="X282" s="618">
        <f t="shared" si="112"/>
        <v>742616.82</v>
      </c>
      <c r="Y282" s="618"/>
      <c r="Z282" s="489">
        <v>829000</v>
      </c>
      <c r="AA282" s="361">
        <f t="shared" si="100"/>
        <v>708547.01</v>
      </c>
      <c r="AB282" s="597"/>
      <c r="AC282" s="485">
        <f t="shared" si="101"/>
        <v>0</v>
      </c>
      <c r="AD282" s="597"/>
      <c r="AE282" s="485">
        <f t="shared" si="102"/>
        <v>0</v>
      </c>
      <c r="AF282" s="508">
        <f t="shared" si="103"/>
        <v>0</v>
      </c>
      <c r="AG282" s="508">
        <f t="shared" si="104"/>
        <v>0</v>
      </c>
      <c r="AH282" s="508">
        <f t="shared" si="105"/>
        <v>829000</v>
      </c>
      <c r="AI282" s="508">
        <f t="shared" si="106"/>
        <v>0</v>
      </c>
      <c r="AJ282" s="508">
        <f t="shared" si="107"/>
        <v>120452.99</v>
      </c>
      <c r="AK282" s="508">
        <f t="shared" si="108"/>
        <v>708500</v>
      </c>
      <c r="AL282" s="116">
        <v>14</v>
      </c>
      <c r="AM282" s="486">
        <f t="shared" si="109"/>
        <v>14.76</v>
      </c>
      <c r="AN282" s="632">
        <v>2</v>
      </c>
      <c r="AO282" s="487">
        <f t="shared" si="110"/>
        <v>12</v>
      </c>
      <c r="AP282" s="669">
        <v>10</v>
      </c>
    </row>
    <row r="283" spans="1:42" ht="14.25" customHeight="1">
      <c r="A283" s="701">
        <v>277</v>
      </c>
      <c r="B283" s="477"/>
      <c r="C283" s="477" t="s">
        <v>1546</v>
      </c>
      <c r="D283" s="477" t="s">
        <v>1330</v>
      </c>
      <c r="E283" s="475" t="s">
        <v>1453</v>
      </c>
      <c r="F283" s="611" t="s">
        <v>1999</v>
      </c>
      <c r="G283" s="482" t="s">
        <v>1943</v>
      </c>
      <c r="H283" s="482">
        <v>1</v>
      </c>
      <c r="I283" s="580">
        <v>40544</v>
      </c>
      <c r="J283" s="580">
        <v>37681</v>
      </c>
      <c r="K283" s="581">
        <v>30000</v>
      </c>
      <c r="L283" s="581">
        <v>2564.1</v>
      </c>
      <c r="M283" s="582"/>
      <c r="N283" s="582"/>
      <c r="O283" s="582"/>
      <c r="P283" s="582">
        <f t="shared" si="96"/>
        <v>30000</v>
      </c>
      <c r="Q283" s="582">
        <f t="shared" si="97"/>
        <v>2564.1</v>
      </c>
      <c r="R283" s="583">
        <f t="shared" si="98"/>
        <v>1100</v>
      </c>
      <c r="S283" s="584"/>
      <c r="T283" s="584">
        <v>5</v>
      </c>
      <c r="U283" s="585">
        <f>ROUND(R283*(1-T283/100),0)</f>
        <v>1045</v>
      </c>
      <c r="V283" s="586">
        <f t="shared" si="99"/>
        <v>-59.24</v>
      </c>
      <c r="W283" s="611" t="s">
        <v>2074</v>
      </c>
      <c r="X283" s="618">
        <f t="shared" si="112"/>
        <v>30000</v>
      </c>
      <c r="Y283" s="618">
        <v>1</v>
      </c>
      <c r="Z283" s="617">
        <f>Z$4*Y283</f>
        <v>1300</v>
      </c>
      <c r="AA283" s="361">
        <f t="shared" si="100"/>
        <v>1111.1099999999999</v>
      </c>
      <c r="AB283" s="597"/>
      <c r="AC283" s="485">
        <f t="shared" si="101"/>
        <v>0</v>
      </c>
      <c r="AD283" s="597"/>
      <c r="AE283" s="485">
        <f t="shared" si="102"/>
        <v>0</v>
      </c>
      <c r="AF283" s="508">
        <f t="shared" si="103"/>
        <v>0</v>
      </c>
      <c r="AG283" s="508">
        <f t="shared" si="104"/>
        <v>0</v>
      </c>
      <c r="AH283" s="508">
        <f t="shared" si="105"/>
        <v>1300</v>
      </c>
      <c r="AI283" s="508">
        <f t="shared" si="106"/>
        <v>0</v>
      </c>
      <c r="AJ283" s="508">
        <f t="shared" si="107"/>
        <v>188.89</v>
      </c>
      <c r="AK283" s="508">
        <f t="shared" si="108"/>
        <v>1100</v>
      </c>
      <c r="AL283" s="116">
        <v>12</v>
      </c>
      <c r="AM283" s="486">
        <f t="shared" si="109"/>
        <v>14.76</v>
      </c>
      <c r="AN283" s="117">
        <f>ROUND((AL283-AM283),0)</f>
        <v>-3</v>
      </c>
      <c r="AO283" s="487">
        <f t="shared" si="110"/>
        <v>-26</v>
      </c>
      <c r="AP283" s="610"/>
    </row>
    <row r="284" spans="1:42" ht="14.25" customHeight="1">
      <c r="A284" s="701">
        <v>278</v>
      </c>
      <c r="B284" s="477"/>
      <c r="C284" s="477" t="s">
        <v>1546</v>
      </c>
      <c r="D284" s="477" t="s">
        <v>1330</v>
      </c>
      <c r="E284" s="475" t="s">
        <v>1453</v>
      </c>
      <c r="F284" s="611" t="s">
        <v>1999</v>
      </c>
      <c r="G284" s="482" t="s">
        <v>1943</v>
      </c>
      <c r="H284" s="482">
        <v>1</v>
      </c>
      <c r="I284" s="580">
        <v>40544</v>
      </c>
      <c r="J284" s="580">
        <v>37681</v>
      </c>
      <c r="K284" s="581">
        <v>30000</v>
      </c>
      <c r="L284" s="581">
        <v>11538.46</v>
      </c>
      <c r="M284" s="582"/>
      <c r="N284" s="582"/>
      <c r="O284" s="582"/>
      <c r="P284" s="582">
        <f t="shared" si="96"/>
        <v>30000</v>
      </c>
      <c r="Q284" s="582">
        <f t="shared" si="97"/>
        <v>11538.46</v>
      </c>
      <c r="R284" s="583">
        <f t="shared" si="98"/>
        <v>1100</v>
      </c>
      <c r="S284" s="584"/>
      <c r="T284" s="584">
        <v>5</v>
      </c>
      <c r="U284" s="585">
        <f>ROUND(R284*(1-T284/100),0)</f>
        <v>1045</v>
      </c>
      <c r="V284" s="586">
        <f t="shared" si="99"/>
        <v>-90.94</v>
      </c>
      <c r="W284" s="611" t="s">
        <v>2074</v>
      </c>
      <c r="X284" s="618">
        <f t="shared" si="112"/>
        <v>30000</v>
      </c>
      <c r="Y284" s="618">
        <v>1</v>
      </c>
      <c r="Z284" s="617">
        <f>Z$4*Y284</f>
        <v>1300</v>
      </c>
      <c r="AA284" s="361">
        <f t="shared" si="100"/>
        <v>1111.1099999999999</v>
      </c>
      <c r="AB284" s="597"/>
      <c r="AC284" s="485">
        <f t="shared" si="101"/>
        <v>0</v>
      </c>
      <c r="AD284" s="597"/>
      <c r="AE284" s="485">
        <f t="shared" si="102"/>
        <v>0</v>
      </c>
      <c r="AF284" s="508">
        <f t="shared" si="103"/>
        <v>0</v>
      </c>
      <c r="AG284" s="508">
        <f t="shared" si="104"/>
        <v>0</v>
      </c>
      <c r="AH284" s="508">
        <f t="shared" si="105"/>
        <v>1300</v>
      </c>
      <c r="AI284" s="508">
        <f t="shared" si="106"/>
        <v>0</v>
      </c>
      <c r="AJ284" s="508">
        <f t="shared" si="107"/>
        <v>188.89</v>
      </c>
      <c r="AK284" s="508">
        <f t="shared" si="108"/>
        <v>1100</v>
      </c>
      <c r="AL284" s="116">
        <v>12</v>
      </c>
      <c r="AM284" s="486">
        <f t="shared" si="109"/>
        <v>14.76</v>
      </c>
      <c r="AN284" s="117">
        <f>ROUND((AL284-AM284),0)</f>
        <v>-3</v>
      </c>
      <c r="AO284" s="487">
        <f t="shared" si="110"/>
        <v>-26</v>
      </c>
      <c r="AP284" s="610"/>
    </row>
    <row r="285" spans="1:42" ht="14.25" customHeight="1">
      <c r="A285" s="701">
        <v>279</v>
      </c>
      <c r="B285" s="477"/>
      <c r="C285" s="477" t="s">
        <v>1737</v>
      </c>
      <c r="D285" s="477" t="s">
        <v>1331</v>
      </c>
      <c r="E285" s="475" t="s">
        <v>1453</v>
      </c>
      <c r="F285" s="611" t="s">
        <v>2020</v>
      </c>
      <c r="G285" s="579" t="s">
        <v>1965</v>
      </c>
      <c r="H285" s="482">
        <v>1</v>
      </c>
      <c r="I285" s="580">
        <v>40544</v>
      </c>
      <c r="J285" s="580">
        <v>37681</v>
      </c>
      <c r="K285" s="581">
        <v>135000</v>
      </c>
      <c r="L285" s="581">
        <v>8119.66</v>
      </c>
      <c r="M285" s="582"/>
      <c r="N285" s="582"/>
      <c r="O285" s="582"/>
      <c r="P285" s="582">
        <f t="shared" si="96"/>
        <v>135000</v>
      </c>
      <c r="Q285" s="582">
        <f t="shared" si="97"/>
        <v>8119.66</v>
      </c>
      <c r="R285" s="583">
        <f t="shared" si="98"/>
        <v>200</v>
      </c>
      <c r="S285" s="584"/>
      <c r="T285" s="584">
        <v>3</v>
      </c>
      <c r="U285" s="585">
        <f>ROUND(R285*(1-T285/100),0)</f>
        <v>194</v>
      </c>
      <c r="V285" s="586">
        <f t="shared" si="99"/>
        <v>-97.61</v>
      </c>
      <c r="W285" s="611" t="s">
        <v>2074</v>
      </c>
      <c r="X285" s="618">
        <f t="shared" si="112"/>
        <v>135000</v>
      </c>
      <c r="Y285" s="618"/>
      <c r="Z285" s="617">
        <v>200</v>
      </c>
      <c r="AA285" s="361">
        <f t="shared" si="100"/>
        <v>170.94</v>
      </c>
      <c r="AB285" s="597"/>
      <c r="AC285" s="485">
        <f t="shared" si="101"/>
        <v>0</v>
      </c>
      <c r="AD285" s="597"/>
      <c r="AE285" s="485">
        <f t="shared" si="102"/>
        <v>0</v>
      </c>
      <c r="AF285" s="508">
        <f t="shared" si="103"/>
        <v>0</v>
      </c>
      <c r="AG285" s="508">
        <f t="shared" si="104"/>
        <v>0</v>
      </c>
      <c r="AH285" s="508">
        <f t="shared" si="105"/>
        <v>200</v>
      </c>
      <c r="AI285" s="508">
        <f t="shared" si="106"/>
        <v>0</v>
      </c>
      <c r="AJ285" s="508">
        <f t="shared" si="107"/>
        <v>29.06</v>
      </c>
      <c r="AK285" s="508">
        <f t="shared" si="108"/>
        <v>200</v>
      </c>
      <c r="AM285" s="486">
        <f t="shared" si="109"/>
        <v>14.76</v>
      </c>
      <c r="AN285" s="117">
        <f>ROUND((AL285-AM285),0)</f>
        <v>-15</v>
      </c>
      <c r="AO285" s="487">
        <f t="shared" si="110"/>
        <v>6250</v>
      </c>
      <c r="AP285" s="610"/>
    </row>
    <row r="286" spans="1:42" ht="14.25" customHeight="1">
      <c r="A286" s="701">
        <v>280</v>
      </c>
      <c r="B286" s="477"/>
      <c r="C286" s="477" t="s">
        <v>1752</v>
      </c>
      <c r="D286" s="477" t="s">
        <v>1329</v>
      </c>
      <c r="E286" s="475" t="s">
        <v>1453</v>
      </c>
      <c r="F286" s="611" t="s">
        <v>2020</v>
      </c>
      <c r="G286" s="579" t="s">
        <v>1965</v>
      </c>
      <c r="H286" s="482">
        <v>1</v>
      </c>
      <c r="I286" s="580">
        <v>40544</v>
      </c>
      <c r="J286" s="580">
        <v>37681</v>
      </c>
      <c r="K286" s="581">
        <v>95000</v>
      </c>
      <c r="L286" s="581">
        <v>6666.67</v>
      </c>
      <c r="M286" s="582"/>
      <c r="N286" s="582"/>
      <c r="O286" s="582"/>
      <c r="P286" s="582">
        <f t="shared" si="96"/>
        <v>95000</v>
      </c>
      <c r="Q286" s="582">
        <f t="shared" si="97"/>
        <v>6666.67</v>
      </c>
      <c r="R286" s="583">
        <f t="shared" si="98"/>
        <v>300</v>
      </c>
      <c r="S286" s="584"/>
      <c r="T286" s="584">
        <v>3</v>
      </c>
      <c r="U286" s="585">
        <f>ROUND(R286*(1-T286/100),0)</f>
        <v>291</v>
      </c>
      <c r="V286" s="586">
        <f t="shared" si="99"/>
        <v>-95.64</v>
      </c>
      <c r="W286" s="611" t="s">
        <v>2074</v>
      </c>
      <c r="X286" s="618">
        <f t="shared" si="112"/>
        <v>95000</v>
      </c>
      <c r="Y286" s="618"/>
      <c r="Z286" s="617">
        <v>400</v>
      </c>
      <c r="AA286" s="361">
        <f t="shared" si="100"/>
        <v>341.88</v>
      </c>
      <c r="AB286" s="597"/>
      <c r="AC286" s="485">
        <f t="shared" si="101"/>
        <v>0</v>
      </c>
      <c r="AD286" s="597"/>
      <c r="AE286" s="485">
        <f t="shared" si="102"/>
        <v>0</v>
      </c>
      <c r="AF286" s="508">
        <f t="shared" si="103"/>
        <v>0</v>
      </c>
      <c r="AG286" s="508">
        <f t="shared" si="104"/>
        <v>0</v>
      </c>
      <c r="AH286" s="508">
        <f t="shared" si="105"/>
        <v>400</v>
      </c>
      <c r="AI286" s="508">
        <f t="shared" si="106"/>
        <v>0</v>
      </c>
      <c r="AJ286" s="508">
        <f t="shared" si="107"/>
        <v>58.12</v>
      </c>
      <c r="AK286" s="508">
        <f t="shared" si="108"/>
        <v>300</v>
      </c>
      <c r="AM286" s="486">
        <f t="shared" si="109"/>
        <v>14.76</v>
      </c>
      <c r="AN286" s="117">
        <f>ROUND((AL286-AM286),0)</f>
        <v>-15</v>
      </c>
      <c r="AO286" s="487">
        <f t="shared" si="110"/>
        <v>6250</v>
      </c>
      <c r="AP286" s="610"/>
    </row>
    <row r="287" spans="1:42" ht="14.25" customHeight="1">
      <c r="A287" s="701">
        <v>281</v>
      </c>
      <c r="B287" s="477"/>
      <c r="C287" s="477" t="s">
        <v>1500</v>
      </c>
      <c r="D287" s="477"/>
      <c r="E287" s="475" t="s">
        <v>1453</v>
      </c>
      <c r="F287" s="611" t="s">
        <v>2020</v>
      </c>
      <c r="G287" s="482" t="s">
        <v>1943</v>
      </c>
      <c r="H287" s="482">
        <v>1</v>
      </c>
      <c r="I287" s="580">
        <v>40544</v>
      </c>
      <c r="J287" s="580">
        <v>37681</v>
      </c>
      <c r="K287" s="581">
        <v>78000</v>
      </c>
      <c r="L287" s="581">
        <v>2099.15</v>
      </c>
      <c r="M287" s="582"/>
      <c r="N287" s="582"/>
      <c r="O287" s="582"/>
      <c r="P287" s="582">
        <f t="shared" si="96"/>
        <v>78000</v>
      </c>
      <c r="Q287" s="582">
        <f t="shared" si="97"/>
        <v>2099.15</v>
      </c>
      <c r="R287" s="583">
        <f t="shared" si="98"/>
        <v>80000</v>
      </c>
      <c r="S287" s="668">
        <f>AP287</f>
        <v>10</v>
      </c>
      <c r="T287" s="584">
        <v>4</v>
      </c>
      <c r="U287" s="585">
        <f>IF(S287="",R287,ROUND(R287*(S287-T287)/100,0))</f>
        <v>4800</v>
      </c>
      <c r="V287" s="586">
        <f t="shared" si="99"/>
        <v>128.66</v>
      </c>
      <c r="W287" s="477"/>
      <c r="X287" s="618">
        <f t="shared" si="112"/>
        <v>78000</v>
      </c>
      <c r="Y287" s="618"/>
      <c r="Z287" s="489">
        <v>93600</v>
      </c>
      <c r="AA287" s="361">
        <f t="shared" si="100"/>
        <v>80000</v>
      </c>
      <c r="AB287" s="597"/>
      <c r="AC287" s="485">
        <f t="shared" si="101"/>
        <v>0</v>
      </c>
      <c r="AD287" s="597"/>
      <c r="AE287" s="485">
        <f t="shared" si="102"/>
        <v>0</v>
      </c>
      <c r="AF287" s="508">
        <f t="shared" si="103"/>
        <v>0</v>
      </c>
      <c r="AG287" s="508">
        <f t="shared" si="104"/>
        <v>0</v>
      </c>
      <c r="AH287" s="508">
        <f t="shared" si="105"/>
        <v>93600</v>
      </c>
      <c r="AI287" s="508">
        <f t="shared" si="106"/>
        <v>0</v>
      </c>
      <c r="AJ287" s="508">
        <f t="shared" si="107"/>
        <v>13600</v>
      </c>
      <c r="AK287" s="508">
        <f t="shared" si="108"/>
        <v>80000</v>
      </c>
      <c r="AL287" s="116">
        <v>14</v>
      </c>
      <c r="AM287" s="486">
        <f t="shared" si="109"/>
        <v>14.76</v>
      </c>
      <c r="AN287" s="632">
        <v>2</v>
      </c>
      <c r="AO287" s="487">
        <f t="shared" si="110"/>
        <v>12</v>
      </c>
      <c r="AP287" s="669">
        <v>10</v>
      </c>
    </row>
    <row r="288" spans="1:42" ht="14.25" customHeight="1">
      <c r="A288" s="701">
        <v>282</v>
      </c>
      <c r="B288" s="477"/>
      <c r="C288" s="477" t="s">
        <v>1635</v>
      </c>
      <c r="D288" s="477" t="s">
        <v>1270</v>
      </c>
      <c r="E288" s="475" t="s">
        <v>1453</v>
      </c>
      <c r="F288" s="611" t="s">
        <v>2020</v>
      </c>
      <c r="G288" s="579" t="s">
        <v>1967</v>
      </c>
      <c r="H288" s="482">
        <v>1</v>
      </c>
      <c r="I288" s="580">
        <v>40544</v>
      </c>
      <c r="J288" s="580">
        <v>37681</v>
      </c>
      <c r="K288" s="581">
        <v>24560</v>
      </c>
      <c r="L288" s="581">
        <v>14335</v>
      </c>
      <c r="M288" s="582"/>
      <c r="N288" s="582"/>
      <c r="O288" s="582"/>
      <c r="P288" s="582">
        <f t="shared" si="96"/>
        <v>24560</v>
      </c>
      <c r="Q288" s="582">
        <f t="shared" si="97"/>
        <v>14335</v>
      </c>
      <c r="R288" s="583">
        <f t="shared" si="98"/>
        <v>200</v>
      </c>
      <c r="S288" s="584"/>
      <c r="T288" s="584">
        <v>3</v>
      </c>
      <c r="U288" s="585">
        <f t="shared" ref="U288:U295" si="113">ROUND(R288*(1-T288/100),0)</f>
        <v>194</v>
      </c>
      <c r="V288" s="586">
        <f t="shared" si="99"/>
        <v>-98.65</v>
      </c>
      <c r="W288" s="611" t="s">
        <v>2074</v>
      </c>
      <c r="X288" s="618">
        <f t="shared" si="112"/>
        <v>24560</v>
      </c>
      <c r="Y288" s="618"/>
      <c r="Z288" s="617">
        <v>200</v>
      </c>
      <c r="AA288" s="361">
        <f t="shared" si="100"/>
        <v>170.94</v>
      </c>
      <c r="AB288" s="597"/>
      <c r="AC288" s="485">
        <f t="shared" si="101"/>
        <v>0</v>
      </c>
      <c r="AD288" s="597"/>
      <c r="AE288" s="485">
        <f t="shared" si="102"/>
        <v>0</v>
      </c>
      <c r="AF288" s="508">
        <f t="shared" si="103"/>
        <v>0</v>
      </c>
      <c r="AG288" s="508">
        <f t="shared" si="104"/>
        <v>0</v>
      </c>
      <c r="AH288" s="508">
        <f t="shared" si="105"/>
        <v>200</v>
      </c>
      <c r="AI288" s="508">
        <f t="shared" si="106"/>
        <v>0</v>
      </c>
      <c r="AJ288" s="508">
        <f t="shared" si="107"/>
        <v>29.06</v>
      </c>
      <c r="AK288" s="508">
        <f t="shared" si="108"/>
        <v>200</v>
      </c>
      <c r="AL288" s="116">
        <v>14</v>
      </c>
      <c r="AM288" s="486">
        <f t="shared" si="109"/>
        <v>14.76</v>
      </c>
      <c r="AN288" s="117">
        <f t="shared" ref="AN288:AN305" si="114">ROUND((AL288-AM288),0)</f>
        <v>-1</v>
      </c>
      <c r="AO288" s="487">
        <f t="shared" si="110"/>
        <v>-7</v>
      </c>
      <c r="AP288" s="610"/>
    </row>
    <row r="289" spans="1:42" ht="14.25" customHeight="1">
      <c r="A289" s="701">
        <v>283</v>
      </c>
      <c r="B289" s="477"/>
      <c r="C289" s="477" t="s">
        <v>1740</v>
      </c>
      <c r="D289" s="477" t="s">
        <v>1332</v>
      </c>
      <c r="E289" s="475" t="s">
        <v>1453</v>
      </c>
      <c r="F289" s="477"/>
      <c r="G289" s="482" t="s">
        <v>1943</v>
      </c>
      <c r="H289" s="482">
        <v>1</v>
      </c>
      <c r="I289" s="580">
        <v>40544</v>
      </c>
      <c r="J289" s="580">
        <v>37681</v>
      </c>
      <c r="K289" s="581">
        <v>15215</v>
      </c>
      <c r="L289" s="581">
        <v>0</v>
      </c>
      <c r="M289" s="582"/>
      <c r="N289" s="582"/>
      <c r="O289" s="582"/>
      <c r="P289" s="582">
        <f t="shared" si="96"/>
        <v>15215</v>
      </c>
      <c r="Q289" s="582">
        <f t="shared" si="97"/>
        <v>0</v>
      </c>
      <c r="R289" s="583">
        <f t="shared" si="98"/>
        <v>0</v>
      </c>
      <c r="S289" s="584"/>
      <c r="T289" s="584"/>
      <c r="U289" s="585">
        <f t="shared" si="113"/>
        <v>0</v>
      </c>
      <c r="V289" s="586" t="str">
        <f t="shared" si="99"/>
        <v/>
      </c>
      <c r="W289" s="611" t="s">
        <v>2074</v>
      </c>
      <c r="X289" s="618">
        <f t="shared" si="112"/>
        <v>15215</v>
      </c>
      <c r="Y289" s="618"/>
      <c r="Z289" s="617">
        <v>0</v>
      </c>
      <c r="AA289" s="361">
        <f t="shared" si="100"/>
        <v>0</v>
      </c>
      <c r="AB289" s="597"/>
      <c r="AC289" s="485">
        <f t="shared" si="101"/>
        <v>0</v>
      </c>
      <c r="AD289" s="597"/>
      <c r="AE289" s="485">
        <f t="shared" si="102"/>
        <v>0</v>
      </c>
      <c r="AF289" s="508">
        <f t="shared" si="103"/>
        <v>0</v>
      </c>
      <c r="AG289" s="508">
        <f t="shared" si="104"/>
        <v>0</v>
      </c>
      <c r="AH289" s="508">
        <f t="shared" si="105"/>
        <v>0</v>
      </c>
      <c r="AI289" s="508">
        <f t="shared" si="106"/>
        <v>0</v>
      </c>
      <c r="AJ289" s="508">
        <f t="shared" si="107"/>
        <v>0</v>
      </c>
      <c r="AK289" s="508">
        <f t="shared" si="108"/>
        <v>0</v>
      </c>
      <c r="AM289" s="486">
        <f t="shared" si="109"/>
        <v>14.76</v>
      </c>
      <c r="AN289" s="117">
        <f t="shared" si="114"/>
        <v>-15</v>
      </c>
      <c r="AO289" s="487">
        <f t="shared" si="110"/>
        <v>6250</v>
      </c>
      <c r="AP289" s="610"/>
    </row>
    <row r="290" spans="1:42" ht="14.25" customHeight="1">
      <c r="A290" s="701">
        <v>284</v>
      </c>
      <c r="B290" s="477"/>
      <c r="C290" s="477" t="s">
        <v>1784</v>
      </c>
      <c r="D290" s="477" t="s">
        <v>1333</v>
      </c>
      <c r="E290" s="475" t="s">
        <v>1453</v>
      </c>
      <c r="F290" s="611" t="s">
        <v>1999</v>
      </c>
      <c r="G290" s="482" t="s">
        <v>1943</v>
      </c>
      <c r="H290" s="482">
        <v>1</v>
      </c>
      <c r="I290" s="580">
        <v>40544</v>
      </c>
      <c r="J290" s="580">
        <v>37681</v>
      </c>
      <c r="K290" s="581">
        <v>17000</v>
      </c>
      <c r="L290" s="581">
        <v>5278.88</v>
      </c>
      <c r="M290" s="582"/>
      <c r="N290" s="582"/>
      <c r="O290" s="582"/>
      <c r="P290" s="582">
        <f t="shared" si="96"/>
        <v>17000</v>
      </c>
      <c r="Q290" s="582">
        <f t="shared" si="97"/>
        <v>5278.88</v>
      </c>
      <c r="R290" s="583">
        <f t="shared" si="98"/>
        <v>100</v>
      </c>
      <c r="S290" s="584"/>
      <c r="T290" s="584">
        <v>3</v>
      </c>
      <c r="U290" s="585">
        <f t="shared" si="113"/>
        <v>97</v>
      </c>
      <c r="V290" s="586">
        <f t="shared" si="99"/>
        <v>-98.16</v>
      </c>
      <c r="W290" s="611" t="s">
        <v>2074</v>
      </c>
      <c r="X290" s="618">
        <f t="shared" si="112"/>
        <v>17000</v>
      </c>
      <c r="Y290" s="618"/>
      <c r="Z290" s="617">
        <v>100</v>
      </c>
      <c r="AA290" s="361">
        <f t="shared" si="100"/>
        <v>85.47</v>
      </c>
      <c r="AB290" s="597"/>
      <c r="AC290" s="485">
        <f t="shared" si="101"/>
        <v>0</v>
      </c>
      <c r="AD290" s="597"/>
      <c r="AE290" s="485">
        <f t="shared" si="102"/>
        <v>0</v>
      </c>
      <c r="AF290" s="508">
        <f t="shared" si="103"/>
        <v>0</v>
      </c>
      <c r="AG290" s="508">
        <f t="shared" si="104"/>
        <v>0</v>
      </c>
      <c r="AH290" s="508">
        <f t="shared" si="105"/>
        <v>100</v>
      </c>
      <c r="AI290" s="508">
        <f t="shared" si="106"/>
        <v>0</v>
      </c>
      <c r="AJ290" s="508">
        <f t="shared" si="107"/>
        <v>14.53</v>
      </c>
      <c r="AK290" s="508">
        <f t="shared" si="108"/>
        <v>100</v>
      </c>
      <c r="AM290" s="486">
        <f t="shared" si="109"/>
        <v>14.76</v>
      </c>
      <c r="AN290" s="117">
        <f t="shared" si="114"/>
        <v>-15</v>
      </c>
      <c r="AO290" s="487">
        <f t="shared" si="110"/>
        <v>6250</v>
      </c>
      <c r="AP290" s="610"/>
    </row>
    <row r="291" spans="1:42" ht="14.25" customHeight="1">
      <c r="A291" s="701">
        <v>285</v>
      </c>
      <c r="B291" s="477"/>
      <c r="C291" s="477" t="s">
        <v>1544</v>
      </c>
      <c r="D291" s="477" t="s">
        <v>1334</v>
      </c>
      <c r="E291" s="475" t="s">
        <v>1453</v>
      </c>
      <c r="F291" s="611" t="s">
        <v>2020</v>
      </c>
      <c r="G291" s="482" t="s">
        <v>1943</v>
      </c>
      <c r="H291" s="482">
        <v>1</v>
      </c>
      <c r="I291" s="580">
        <v>40544</v>
      </c>
      <c r="J291" s="580">
        <v>37681</v>
      </c>
      <c r="K291" s="581">
        <v>61762.9</v>
      </c>
      <c r="L291" s="581">
        <v>2652.99</v>
      </c>
      <c r="M291" s="582"/>
      <c r="N291" s="582"/>
      <c r="O291" s="582"/>
      <c r="P291" s="582">
        <f t="shared" si="96"/>
        <v>61762.9</v>
      </c>
      <c r="Q291" s="582">
        <f t="shared" si="97"/>
        <v>2652.99</v>
      </c>
      <c r="R291" s="583">
        <f t="shared" si="98"/>
        <v>300</v>
      </c>
      <c r="S291" s="584"/>
      <c r="T291" s="584">
        <v>3</v>
      </c>
      <c r="U291" s="585">
        <f t="shared" si="113"/>
        <v>291</v>
      </c>
      <c r="V291" s="586">
        <f t="shared" si="99"/>
        <v>-89.03</v>
      </c>
      <c r="W291" s="611" t="s">
        <v>2074</v>
      </c>
      <c r="X291" s="618">
        <f t="shared" si="112"/>
        <v>61762.9</v>
      </c>
      <c r="Y291" s="618"/>
      <c r="Z291" s="617">
        <v>400</v>
      </c>
      <c r="AA291" s="361">
        <f t="shared" si="100"/>
        <v>341.88</v>
      </c>
      <c r="AB291" s="597"/>
      <c r="AC291" s="485">
        <f t="shared" si="101"/>
        <v>0</v>
      </c>
      <c r="AD291" s="597"/>
      <c r="AE291" s="485">
        <f t="shared" si="102"/>
        <v>0</v>
      </c>
      <c r="AF291" s="508">
        <f t="shared" si="103"/>
        <v>0</v>
      </c>
      <c r="AG291" s="508">
        <f t="shared" si="104"/>
        <v>0</v>
      </c>
      <c r="AH291" s="508">
        <f t="shared" si="105"/>
        <v>400</v>
      </c>
      <c r="AI291" s="508">
        <f t="shared" si="106"/>
        <v>0</v>
      </c>
      <c r="AJ291" s="508">
        <f t="shared" si="107"/>
        <v>58.12</v>
      </c>
      <c r="AK291" s="508">
        <f t="shared" si="108"/>
        <v>300</v>
      </c>
      <c r="AL291" s="116">
        <v>12</v>
      </c>
      <c r="AM291" s="486">
        <f t="shared" si="109"/>
        <v>14.76</v>
      </c>
      <c r="AN291" s="117">
        <f t="shared" si="114"/>
        <v>-3</v>
      </c>
      <c r="AO291" s="487">
        <f t="shared" si="110"/>
        <v>-26</v>
      </c>
      <c r="AP291" s="610"/>
    </row>
    <row r="292" spans="1:42" ht="14.25" customHeight="1">
      <c r="A292" s="701">
        <v>286</v>
      </c>
      <c r="B292" s="477"/>
      <c r="C292" s="477" t="s">
        <v>1462</v>
      </c>
      <c r="D292" s="477" t="s">
        <v>1985</v>
      </c>
      <c r="E292" s="475" t="s">
        <v>1453</v>
      </c>
      <c r="F292" s="611" t="s">
        <v>2066</v>
      </c>
      <c r="G292" s="482" t="s">
        <v>1943</v>
      </c>
      <c r="H292" s="482">
        <v>1</v>
      </c>
      <c r="I292" s="580">
        <v>40544</v>
      </c>
      <c r="J292" s="580">
        <v>37681</v>
      </c>
      <c r="K292" s="581">
        <v>31040</v>
      </c>
      <c r="L292" s="581">
        <v>266.67</v>
      </c>
      <c r="M292" s="582"/>
      <c r="N292" s="582"/>
      <c r="O292" s="582"/>
      <c r="P292" s="582">
        <f t="shared" si="96"/>
        <v>31040</v>
      </c>
      <c r="Q292" s="582">
        <f t="shared" si="97"/>
        <v>266.67</v>
      </c>
      <c r="R292" s="583">
        <f t="shared" si="98"/>
        <v>300</v>
      </c>
      <c r="S292" s="584"/>
      <c r="T292" s="584">
        <v>3</v>
      </c>
      <c r="U292" s="585">
        <f t="shared" si="113"/>
        <v>291</v>
      </c>
      <c r="V292" s="586">
        <f t="shared" si="99"/>
        <v>9.1199999999999992</v>
      </c>
      <c r="W292" s="611" t="s">
        <v>2074</v>
      </c>
      <c r="X292" s="618">
        <f t="shared" si="112"/>
        <v>31040</v>
      </c>
      <c r="Y292" s="618"/>
      <c r="Z292" s="617">
        <v>300</v>
      </c>
      <c r="AA292" s="361">
        <f t="shared" si="100"/>
        <v>256.41000000000003</v>
      </c>
      <c r="AB292" s="597"/>
      <c r="AC292" s="485">
        <f t="shared" si="101"/>
        <v>0</v>
      </c>
      <c r="AD292" s="597"/>
      <c r="AE292" s="485">
        <f t="shared" si="102"/>
        <v>0</v>
      </c>
      <c r="AF292" s="508">
        <f t="shared" si="103"/>
        <v>0</v>
      </c>
      <c r="AG292" s="508">
        <f t="shared" si="104"/>
        <v>0</v>
      </c>
      <c r="AH292" s="508">
        <f t="shared" si="105"/>
        <v>300</v>
      </c>
      <c r="AI292" s="508">
        <f t="shared" si="106"/>
        <v>0</v>
      </c>
      <c r="AJ292" s="508">
        <f t="shared" si="107"/>
        <v>43.59</v>
      </c>
      <c r="AK292" s="508">
        <f t="shared" si="108"/>
        <v>300</v>
      </c>
      <c r="AL292" s="116">
        <v>12</v>
      </c>
      <c r="AM292" s="486">
        <f t="shared" si="109"/>
        <v>14.76</v>
      </c>
      <c r="AN292" s="117">
        <f t="shared" si="114"/>
        <v>-3</v>
      </c>
      <c r="AO292" s="487">
        <f t="shared" si="110"/>
        <v>-26</v>
      </c>
      <c r="AP292" s="610"/>
    </row>
    <row r="293" spans="1:42" ht="14.25" customHeight="1">
      <c r="A293" s="701">
        <v>287</v>
      </c>
      <c r="B293" s="477"/>
      <c r="C293" s="477" t="s">
        <v>1559</v>
      </c>
      <c r="D293" s="477" t="s">
        <v>1336</v>
      </c>
      <c r="E293" s="475" t="s">
        <v>1453</v>
      </c>
      <c r="F293" s="477"/>
      <c r="G293" s="482" t="s">
        <v>1943</v>
      </c>
      <c r="H293" s="482">
        <v>1</v>
      </c>
      <c r="I293" s="580">
        <v>40544</v>
      </c>
      <c r="J293" s="580">
        <v>37681</v>
      </c>
      <c r="K293" s="581">
        <v>3120</v>
      </c>
      <c r="L293" s="581">
        <v>0</v>
      </c>
      <c r="M293" s="582"/>
      <c r="N293" s="582"/>
      <c r="O293" s="582"/>
      <c r="P293" s="582">
        <f t="shared" si="96"/>
        <v>3120</v>
      </c>
      <c r="Q293" s="582">
        <f t="shared" si="97"/>
        <v>0</v>
      </c>
      <c r="R293" s="583">
        <f t="shared" si="98"/>
        <v>100</v>
      </c>
      <c r="S293" s="584"/>
      <c r="T293" s="584">
        <v>3</v>
      </c>
      <c r="U293" s="585">
        <f t="shared" si="113"/>
        <v>97</v>
      </c>
      <c r="V293" s="586" t="str">
        <f t="shared" si="99"/>
        <v/>
      </c>
      <c r="W293" s="611" t="s">
        <v>2074</v>
      </c>
      <c r="X293" s="618">
        <f t="shared" si="112"/>
        <v>3120</v>
      </c>
      <c r="Y293" s="618"/>
      <c r="Z293" s="617">
        <v>100</v>
      </c>
      <c r="AA293" s="361">
        <f t="shared" si="100"/>
        <v>85.47</v>
      </c>
      <c r="AB293" s="597"/>
      <c r="AC293" s="485">
        <f t="shared" si="101"/>
        <v>0</v>
      </c>
      <c r="AD293" s="597"/>
      <c r="AE293" s="485">
        <f t="shared" si="102"/>
        <v>0</v>
      </c>
      <c r="AF293" s="508">
        <f t="shared" si="103"/>
        <v>0</v>
      </c>
      <c r="AG293" s="508">
        <f t="shared" si="104"/>
        <v>0</v>
      </c>
      <c r="AH293" s="508">
        <f t="shared" si="105"/>
        <v>100</v>
      </c>
      <c r="AI293" s="508">
        <f t="shared" si="106"/>
        <v>0</v>
      </c>
      <c r="AJ293" s="508">
        <f t="shared" si="107"/>
        <v>14.53</v>
      </c>
      <c r="AK293" s="508">
        <f t="shared" si="108"/>
        <v>100</v>
      </c>
      <c r="AL293" s="116">
        <v>8</v>
      </c>
      <c r="AM293" s="486">
        <f t="shared" si="109"/>
        <v>14.76</v>
      </c>
      <c r="AN293" s="117">
        <f t="shared" si="114"/>
        <v>-7</v>
      </c>
      <c r="AO293" s="487">
        <f t="shared" si="110"/>
        <v>-90</v>
      </c>
      <c r="AP293" s="610"/>
    </row>
    <row r="294" spans="1:42" ht="14.25" customHeight="1">
      <c r="A294" s="701">
        <v>288</v>
      </c>
      <c r="B294" s="477"/>
      <c r="C294" s="477" t="s">
        <v>1558</v>
      </c>
      <c r="D294" s="477" t="s">
        <v>1336</v>
      </c>
      <c r="E294" s="475" t="s">
        <v>1453</v>
      </c>
      <c r="F294" s="477"/>
      <c r="G294" s="482" t="s">
        <v>1943</v>
      </c>
      <c r="H294" s="482">
        <v>1</v>
      </c>
      <c r="I294" s="580">
        <v>40544</v>
      </c>
      <c r="J294" s="580">
        <v>37681</v>
      </c>
      <c r="K294" s="581">
        <v>3120</v>
      </c>
      <c r="L294" s="581">
        <v>0</v>
      </c>
      <c r="M294" s="582"/>
      <c r="N294" s="582"/>
      <c r="O294" s="582"/>
      <c r="P294" s="582">
        <f t="shared" si="96"/>
        <v>3120</v>
      </c>
      <c r="Q294" s="582">
        <f t="shared" si="97"/>
        <v>0</v>
      </c>
      <c r="R294" s="583">
        <f t="shared" si="98"/>
        <v>100</v>
      </c>
      <c r="S294" s="584"/>
      <c r="T294" s="584">
        <v>3</v>
      </c>
      <c r="U294" s="585">
        <f t="shared" si="113"/>
        <v>97</v>
      </c>
      <c r="V294" s="586" t="str">
        <f t="shared" si="99"/>
        <v/>
      </c>
      <c r="W294" s="611" t="s">
        <v>2074</v>
      </c>
      <c r="X294" s="618">
        <f t="shared" si="112"/>
        <v>3120</v>
      </c>
      <c r="Y294" s="618"/>
      <c r="Z294" s="617">
        <v>100</v>
      </c>
      <c r="AA294" s="361">
        <f t="shared" si="100"/>
        <v>85.47</v>
      </c>
      <c r="AB294" s="597"/>
      <c r="AC294" s="485">
        <f t="shared" si="101"/>
        <v>0</v>
      </c>
      <c r="AD294" s="597"/>
      <c r="AE294" s="485">
        <f t="shared" si="102"/>
        <v>0</v>
      </c>
      <c r="AF294" s="508">
        <f t="shared" si="103"/>
        <v>0</v>
      </c>
      <c r="AG294" s="508">
        <f t="shared" si="104"/>
        <v>0</v>
      </c>
      <c r="AH294" s="508">
        <f t="shared" si="105"/>
        <v>100</v>
      </c>
      <c r="AI294" s="508">
        <f t="shared" si="106"/>
        <v>0</v>
      </c>
      <c r="AJ294" s="508">
        <f t="shared" si="107"/>
        <v>14.53</v>
      </c>
      <c r="AK294" s="508">
        <f t="shared" si="108"/>
        <v>100</v>
      </c>
      <c r="AL294" s="116">
        <v>8</v>
      </c>
      <c r="AM294" s="486">
        <f t="shared" si="109"/>
        <v>14.76</v>
      </c>
      <c r="AN294" s="117">
        <f t="shared" si="114"/>
        <v>-7</v>
      </c>
      <c r="AO294" s="487">
        <f t="shared" si="110"/>
        <v>-90</v>
      </c>
      <c r="AP294" s="610"/>
    </row>
    <row r="295" spans="1:42" ht="14.25" customHeight="1">
      <c r="A295" s="701">
        <v>289</v>
      </c>
      <c r="B295" s="477"/>
      <c r="C295" s="477" t="s">
        <v>1715</v>
      </c>
      <c r="D295" s="477" t="s">
        <v>1287</v>
      </c>
      <c r="E295" s="475" t="s">
        <v>1453</v>
      </c>
      <c r="F295" s="477"/>
      <c r="G295" s="482" t="s">
        <v>1943</v>
      </c>
      <c r="H295" s="482">
        <v>1</v>
      </c>
      <c r="I295" s="580">
        <v>40544</v>
      </c>
      <c r="J295" s="580">
        <v>37681</v>
      </c>
      <c r="K295" s="581">
        <v>3120</v>
      </c>
      <c r="L295" s="581">
        <v>0</v>
      </c>
      <c r="M295" s="582"/>
      <c r="N295" s="582"/>
      <c r="O295" s="582"/>
      <c r="P295" s="582">
        <f t="shared" si="96"/>
        <v>3120</v>
      </c>
      <c r="Q295" s="582">
        <f t="shared" si="97"/>
        <v>0</v>
      </c>
      <c r="R295" s="583">
        <f t="shared" si="98"/>
        <v>100</v>
      </c>
      <c r="S295" s="584"/>
      <c r="T295" s="584">
        <v>3</v>
      </c>
      <c r="U295" s="585">
        <f t="shared" si="113"/>
        <v>97</v>
      </c>
      <c r="V295" s="586" t="str">
        <f t="shared" si="99"/>
        <v/>
      </c>
      <c r="W295" s="611" t="s">
        <v>2074</v>
      </c>
      <c r="X295" s="618">
        <f t="shared" si="112"/>
        <v>3120</v>
      </c>
      <c r="Y295" s="618"/>
      <c r="Z295" s="617">
        <v>100</v>
      </c>
      <c r="AA295" s="361">
        <f t="shared" si="100"/>
        <v>85.47</v>
      </c>
      <c r="AB295" s="597"/>
      <c r="AC295" s="485">
        <f t="shared" si="101"/>
        <v>0</v>
      </c>
      <c r="AD295" s="597"/>
      <c r="AE295" s="485">
        <f t="shared" si="102"/>
        <v>0</v>
      </c>
      <c r="AF295" s="508">
        <f t="shared" si="103"/>
        <v>0</v>
      </c>
      <c r="AG295" s="508">
        <f t="shared" si="104"/>
        <v>0</v>
      </c>
      <c r="AH295" s="508">
        <f t="shared" si="105"/>
        <v>100</v>
      </c>
      <c r="AI295" s="508">
        <f t="shared" si="106"/>
        <v>0</v>
      </c>
      <c r="AJ295" s="508">
        <f t="shared" si="107"/>
        <v>14.53</v>
      </c>
      <c r="AK295" s="508">
        <f t="shared" si="108"/>
        <v>100</v>
      </c>
      <c r="AM295" s="486">
        <f t="shared" si="109"/>
        <v>14.76</v>
      </c>
      <c r="AN295" s="117">
        <f t="shared" si="114"/>
        <v>-15</v>
      </c>
      <c r="AO295" s="487">
        <f t="shared" si="110"/>
        <v>6250</v>
      </c>
      <c r="AP295" s="610"/>
    </row>
    <row r="296" spans="1:42" ht="14.25" customHeight="1">
      <c r="A296" s="701">
        <v>290</v>
      </c>
      <c r="B296" s="477"/>
      <c r="C296" s="477" t="s">
        <v>1489</v>
      </c>
      <c r="D296" s="477" t="s">
        <v>1337</v>
      </c>
      <c r="E296" s="475" t="s">
        <v>1453</v>
      </c>
      <c r="F296" s="477"/>
      <c r="G296" s="482" t="s">
        <v>1943</v>
      </c>
      <c r="H296" s="482">
        <v>1</v>
      </c>
      <c r="I296" s="580">
        <v>42368</v>
      </c>
      <c r="J296" s="580">
        <v>42368</v>
      </c>
      <c r="K296" s="581">
        <v>6160</v>
      </c>
      <c r="L296" s="581">
        <v>290.60000000000002</v>
      </c>
      <c r="M296" s="582"/>
      <c r="N296" s="582"/>
      <c r="O296" s="582"/>
      <c r="P296" s="582">
        <f t="shared" si="96"/>
        <v>6160</v>
      </c>
      <c r="Q296" s="582">
        <f t="shared" si="97"/>
        <v>290.60000000000002</v>
      </c>
      <c r="R296" s="583">
        <f t="shared" si="98"/>
        <v>4900</v>
      </c>
      <c r="S296" s="668">
        <f>AP296</f>
        <v>27</v>
      </c>
      <c r="T296" s="584">
        <v>5</v>
      </c>
      <c r="U296" s="585">
        <f>IF(S296="",R296,ROUND(R296*(S296-T296)/100,0))</f>
        <v>1078</v>
      </c>
      <c r="V296" s="586">
        <f t="shared" si="99"/>
        <v>270.95999999999998</v>
      </c>
      <c r="W296" s="477"/>
      <c r="X296" s="618">
        <f t="shared" si="112"/>
        <v>6160</v>
      </c>
      <c r="Y296" s="618"/>
      <c r="Z296" s="489">
        <v>5700</v>
      </c>
      <c r="AA296" s="361">
        <f t="shared" si="100"/>
        <v>4871.79</v>
      </c>
      <c r="AB296" s="597"/>
      <c r="AC296" s="485">
        <f t="shared" si="101"/>
        <v>0</v>
      </c>
      <c r="AD296" s="597"/>
      <c r="AE296" s="485">
        <f t="shared" si="102"/>
        <v>0</v>
      </c>
      <c r="AF296" s="508">
        <f t="shared" si="103"/>
        <v>0</v>
      </c>
      <c r="AG296" s="508">
        <f t="shared" si="104"/>
        <v>0</v>
      </c>
      <c r="AH296" s="508">
        <f t="shared" si="105"/>
        <v>5700</v>
      </c>
      <c r="AI296" s="508">
        <f t="shared" si="106"/>
        <v>0</v>
      </c>
      <c r="AJ296" s="508">
        <f t="shared" si="107"/>
        <v>828.21</v>
      </c>
      <c r="AK296" s="508">
        <f t="shared" si="108"/>
        <v>4900</v>
      </c>
      <c r="AL296" s="116">
        <v>8</v>
      </c>
      <c r="AM296" s="486">
        <f t="shared" si="109"/>
        <v>1.92</v>
      </c>
      <c r="AN296" s="117">
        <f t="shared" si="114"/>
        <v>6</v>
      </c>
      <c r="AO296" s="487">
        <f t="shared" si="110"/>
        <v>76</v>
      </c>
      <c r="AP296" s="610">
        <f>AO296*AP$4</f>
        <v>27</v>
      </c>
    </row>
    <row r="297" spans="1:42" ht="14.25" customHeight="1">
      <c r="A297" s="701">
        <v>291</v>
      </c>
      <c r="B297" s="477"/>
      <c r="C297" s="477" t="s">
        <v>1490</v>
      </c>
      <c r="D297" s="477"/>
      <c r="E297" s="475" t="s">
        <v>1453</v>
      </c>
      <c r="F297" s="477"/>
      <c r="G297" s="482" t="s">
        <v>1943</v>
      </c>
      <c r="H297" s="482">
        <v>1</v>
      </c>
      <c r="I297" s="580">
        <v>40544</v>
      </c>
      <c r="J297" s="580">
        <v>37681</v>
      </c>
      <c r="K297" s="581">
        <v>3400</v>
      </c>
      <c r="L297" s="581">
        <v>0</v>
      </c>
      <c r="M297" s="582"/>
      <c r="N297" s="582"/>
      <c r="O297" s="582"/>
      <c r="P297" s="582">
        <f t="shared" si="96"/>
        <v>3400</v>
      </c>
      <c r="Q297" s="582">
        <f t="shared" si="97"/>
        <v>0</v>
      </c>
      <c r="R297" s="583">
        <f t="shared" si="98"/>
        <v>100</v>
      </c>
      <c r="S297" s="584"/>
      <c r="T297" s="584">
        <v>3</v>
      </c>
      <c r="U297" s="585">
        <f t="shared" ref="U297:U305" si="115">ROUND(R297*(1-T297/100),0)</f>
        <v>97</v>
      </c>
      <c r="V297" s="586" t="str">
        <f t="shared" si="99"/>
        <v/>
      </c>
      <c r="W297" s="611" t="s">
        <v>2074</v>
      </c>
      <c r="X297" s="618">
        <f t="shared" si="112"/>
        <v>3400</v>
      </c>
      <c r="Y297" s="618"/>
      <c r="Z297" s="617">
        <v>100</v>
      </c>
      <c r="AA297" s="361">
        <f t="shared" si="100"/>
        <v>85.47</v>
      </c>
      <c r="AB297" s="597"/>
      <c r="AC297" s="485">
        <f t="shared" si="101"/>
        <v>0</v>
      </c>
      <c r="AD297" s="597"/>
      <c r="AE297" s="485">
        <f t="shared" si="102"/>
        <v>0</v>
      </c>
      <c r="AF297" s="508">
        <f t="shared" si="103"/>
        <v>0</v>
      </c>
      <c r="AG297" s="508">
        <f t="shared" si="104"/>
        <v>0</v>
      </c>
      <c r="AH297" s="508">
        <f t="shared" si="105"/>
        <v>100</v>
      </c>
      <c r="AI297" s="508">
        <f t="shared" si="106"/>
        <v>0</v>
      </c>
      <c r="AJ297" s="508">
        <f t="shared" si="107"/>
        <v>14.53</v>
      </c>
      <c r="AK297" s="508">
        <f t="shared" si="108"/>
        <v>100</v>
      </c>
      <c r="AL297" s="116">
        <v>8</v>
      </c>
      <c r="AM297" s="486">
        <f t="shared" si="109"/>
        <v>14.76</v>
      </c>
      <c r="AN297" s="117">
        <f t="shared" si="114"/>
        <v>-7</v>
      </c>
      <c r="AO297" s="487">
        <f t="shared" si="110"/>
        <v>-90</v>
      </c>
      <c r="AP297" s="610"/>
    </row>
    <row r="298" spans="1:42" ht="14.25" customHeight="1">
      <c r="A298" s="701">
        <v>292</v>
      </c>
      <c r="B298" s="477"/>
      <c r="C298" s="477" t="s">
        <v>1495</v>
      </c>
      <c r="D298" s="477" t="s">
        <v>1338</v>
      </c>
      <c r="E298" s="475" t="s">
        <v>1453</v>
      </c>
      <c r="F298" s="477"/>
      <c r="G298" s="482" t="s">
        <v>1943</v>
      </c>
      <c r="H298" s="482">
        <v>1</v>
      </c>
      <c r="I298" s="580">
        <v>40544</v>
      </c>
      <c r="J298" s="580">
        <v>37681</v>
      </c>
      <c r="K298" s="581">
        <v>8480</v>
      </c>
      <c r="L298" s="581">
        <v>246.15</v>
      </c>
      <c r="M298" s="582"/>
      <c r="N298" s="582"/>
      <c r="O298" s="582"/>
      <c r="P298" s="582">
        <f t="shared" si="96"/>
        <v>8480</v>
      </c>
      <c r="Q298" s="582">
        <f t="shared" si="97"/>
        <v>246.15</v>
      </c>
      <c r="R298" s="583">
        <f t="shared" si="98"/>
        <v>200</v>
      </c>
      <c r="S298" s="584"/>
      <c r="T298" s="584">
        <v>3</v>
      </c>
      <c r="U298" s="585">
        <f t="shared" si="115"/>
        <v>194</v>
      </c>
      <c r="V298" s="586">
        <f t="shared" si="99"/>
        <v>-21.19</v>
      </c>
      <c r="W298" s="611" t="s">
        <v>2074</v>
      </c>
      <c r="X298" s="618">
        <f t="shared" si="112"/>
        <v>8480</v>
      </c>
      <c r="Y298" s="618"/>
      <c r="Z298" s="617">
        <v>200</v>
      </c>
      <c r="AA298" s="361">
        <f t="shared" si="100"/>
        <v>170.94</v>
      </c>
      <c r="AB298" s="597"/>
      <c r="AC298" s="485">
        <f t="shared" si="101"/>
        <v>0</v>
      </c>
      <c r="AD298" s="597"/>
      <c r="AE298" s="485">
        <f t="shared" si="102"/>
        <v>0</v>
      </c>
      <c r="AF298" s="508">
        <f t="shared" si="103"/>
        <v>0</v>
      </c>
      <c r="AG298" s="508">
        <f t="shared" si="104"/>
        <v>0</v>
      </c>
      <c r="AH298" s="508">
        <f t="shared" si="105"/>
        <v>200</v>
      </c>
      <c r="AI298" s="508">
        <f t="shared" si="106"/>
        <v>0</v>
      </c>
      <c r="AJ298" s="508">
        <f t="shared" si="107"/>
        <v>29.06</v>
      </c>
      <c r="AK298" s="508">
        <f t="shared" si="108"/>
        <v>200</v>
      </c>
      <c r="AL298" s="116">
        <v>8</v>
      </c>
      <c r="AM298" s="486">
        <f t="shared" si="109"/>
        <v>14.76</v>
      </c>
      <c r="AN298" s="117">
        <f t="shared" si="114"/>
        <v>-7</v>
      </c>
      <c r="AO298" s="487">
        <f t="shared" si="110"/>
        <v>-90</v>
      </c>
      <c r="AP298" s="610"/>
    </row>
    <row r="299" spans="1:42" ht="14.25" customHeight="1">
      <c r="A299" s="701">
        <v>293</v>
      </c>
      <c r="B299" s="477"/>
      <c r="C299" s="477" t="s">
        <v>1638</v>
      </c>
      <c r="D299" s="477" t="s">
        <v>1339</v>
      </c>
      <c r="E299" s="475" t="s">
        <v>1453</v>
      </c>
      <c r="F299" s="477"/>
      <c r="G299" s="482" t="s">
        <v>1943</v>
      </c>
      <c r="H299" s="482">
        <v>1</v>
      </c>
      <c r="I299" s="580">
        <v>40544</v>
      </c>
      <c r="J299" s="580">
        <v>37681</v>
      </c>
      <c r="K299" s="581">
        <v>2880</v>
      </c>
      <c r="L299" s="581">
        <v>0</v>
      </c>
      <c r="M299" s="582"/>
      <c r="N299" s="582"/>
      <c r="O299" s="582"/>
      <c r="P299" s="582">
        <f t="shared" si="96"/>
        <v>2880</v>
      </c>
      <c r="Q299" s="582">
        <f t="shared" si="97"/>
        <v>0</v>
      </c>
      <c r="R299" s="583">
        <f t="shared" si="98"/>
        <v>100</v>
      </c>
      <c r="S299" s="584"/>
      <c r="T299" s="584">
        <v>3</v>
      </c>
      <c r="U299" s="585">
        <f t="shared" si="115"/>
        <v>97</v>
      </c>
      <c r="V299" s="586" t="str">
        <f t="shared" si="99"/>
        <v/>
      </c>
      <c r="W299" s="611" t="s">
        <v>2074</v>
      </c>
      <c r="X299" s="618">
        <f t="shared" si="112"/>
        <v>2880</v>
      </c>
      <c r="Y299" s="618"/>
      <c r="Z299" s="617">
        <v>100</v>
      </c>
      <c r="AA299" s="361">
        <f t="shared" si="100"/>
        <v>85.47</v>
      </c>
      <c r="AB299" s="597"/>
      <c r="AC299" s="485">
        <f t="shared" si="101"/>
        <v>0</v>
      </c>
      <c r="AD299" s="597"/>
      <c r="AE299" s="485">
        <f t="shared" si="102"/>
        <v>0</v>
      </c>
      <c r="AF299" s="508">
        <f t="shared" si="103"/>
        <v>0</v>
      </c>
      <c r="AG299" s="508">
        <f t="shared" si="104"/>
        <v>0</v>
      </c>
      <c r="AH299" s="508">
        <f t="shared" si="105"/>
        <v>100</v>
      </c>
      <c r="AI299" s="508">
        <f t="shared" si="106"/>
        <v>0</v>
      </c>
      <c r="AJ299" s="508">
        <f t="shared" si="107"/>
        <v>14.53</v>
      </c>
      <c r="AK299" s="508">
        <f t="shared" si="108"/>
        <v>100</v>
      </c>
      <c r="AM299" s="486">
        <f t="shared" si="109"/>
        <v>14.76</v>
      </c>
      <c r="AN299" s="117">
        <f t="shared" si="114"/>
        <v>-15</v>
      </c>
      <c r="AO299" s="487">
        <f t="shared" si="110"/>
        <v>6250</v>
      </c>
      <c r="AP299" s="610"/>
    </row>
    <row r="300" spans="1:42" ht="14.25" customHeight="1">
      <c r="A300" s="701">
        <v>294</v>
      </c>
      <c r="B300" s="477"/>
      <c r="C300" s="477" t="s">
        <v>1774</v>
      </c>
      <c r="D300" s="477" t="s">
        <v>1340</v>
      </c>
      <c r="E300" s="475" t="s">
        <v>1453</v>
      </c>
      <c r="F300" s="477"/>
      <c r="G300" s="482" t="s">
        <v>1943</v>
      </c>
      <c r="H300" s="482">
        <v>1</v>
      </c>
      <c r="I300" s="580">
        <v>40544</v>
      </c>
      <c r="J300" s="580">
        <v>37681</v>
      </c>
      <c r="K300" s="581">
        <v>18400</v>
      </c>
      <c r="L300" s="581">
        <v>683.76</v>
      </c>
      <c r="M300" s="582"/>
      <c r="N300" s="582"/>
      <c r="O300" s="582"/>
      <c r="P300" s="582">
        <f t="shared" si="96"/>
        <v>18400</v>
      </c>
      <c r="Q300" s="582">
        <f t="shared" si="97"/>
        <v>683.76</v>
      </c>
      <c r="R300" s="583">
        <f t="shared" si="98"/>
        <v>100</v>
      </c>
      <c r="S300" s="584"/>
      <c r="T300" s="584">
        <v>3</v>
      </c>
      <c r="U300" s="585">
        <f t="shared" si="115"/>
        <v>97</v>
      </c>
      <c r="V300" s="586">
        <f t="shared" si="99"/>
        <v>-85.81</v>
      </c>
      <c r="W300" s="611" t="s">
        <v>2074</v>
      </c>
      <c r="X300" s="618">
        <f t="shared" si="112"/>
        <v>18400</v>
      </c>
      <c r="Y300" s="618"/>
      <c r="Z300" s="617">
        <v>100</v>
      </c>
      <c r="AA300" s="361">
        <f t="shared" si="100"/>
        <v>85.47</v>
      </c>
      <c r="AB300" s="597"/>
      <c r="AC300" s="485">
        <f t="shared" si="101"/>
        <v>0</v>
      </c>
      <c r="AD300" s="597"/>
      <c r="AE300" s="485">
        <f t="shared" si="102"/>
        <v>0</v>
      </c>
      <c r="AF300" s="508">
        <f t="shared" si="103"/>
        <v>0</v>
      </c>
      <c r="AG300" s="508">
        <f t="shared" si="104"/>
        <v>0</v>
      </c>
      <c r="AH300" s="508">
        <f t="shared" si="105"/>
        <v>100</v>
      </c>
      <c r="AI300" s="508">
        <f t="shared" si="106"/>
        <v>0</v>
      </c>
      <c r="AJ300" s="508">
        <f t="shared" si="107"/>
        <v>14.53</v>
      </c>
      <c r="AK300" s="508">
        <f t="shared" si="108"/>
        <v>100</v>
      </c>
      <c r="AM300" s="486">
        <f t="shared" si="109"/>
        <v>14.76</v>
      </c>
      <c r="AN300" s="117">
        <f t="shared" si="114"/>
        <v>-15</v>
      </c>
      <c r="AO300" s="487">
        <f t="shared" si="110"/>
        <v>6250</v>
      </c>
      <c r="AP300" s="610"/>
    </row>
    <row r="301" spans="1:42" ht="14.25" customHeight="1">
      <c r="A301" s="701">
        <v>295</v>
      </c>
      <c r="B301" s="477"/>
      <c r="C301" s="477" t="s">
        <v>1518</v>
      </c>
      <c r="D301" s="477" t="s">
        <v>1188</v>
      </c>
      <c r="E301" s="475" t="s">
        <v>1453</v>
      </c>
      <c r="F301" s="611" t="s">
        <v>2018</v>
      </c>
      <c r="G301" s="482" t="s">
        <v>1943</v>
      </c>
      <c r="H301" s="482">
        <v>1</v>
      </c>
      <c r="I301" s="580">
        <v>40544</v>
      </c>
      <c r="J301" s="580">
        <v>37681</v>
      </c>
      <c r="K301" s="581">
        <v>8000</v>
      </c>
      <c r="L301" s="581">
        <v>533.33000000000004</v>
      </c>
      <c r="M301" s="582"/>
      <c r="N301" s="582"/>
      <c r="O301" s="582"/>
      <c r="P301" s="582">
        <f t="shared" si="96"/>
        <v>8000</v>
      </c>
      <c r="Q301" s="582">
        <f t="shared" si="97"/>
        <v>533.33000000000004</v>
      </c>
      <c r="R301" s="583">
        <f t="shared" si="98"/>
        <v>100</v>
      </c>
      <c r="S301" s="584"/>
      <c r="T301" s="584">
        <v>3</v>
      </c>
      <c r="U301" s="585">
        <f t="shared" si="115"/>
        <v>97</v>
      </c>
      <c r="V301" s="586">
        <f t="shared" si="99"/>
        <v>-81.81</v>
      </c>
      <c r="W301" s="611" t="s">
        <v>2074</v>
      </c>
      <c r="X301" s="618">
        <f t="shared" si="112"/>
        <v>8000</v>
      </c>
      <c r="Y301" s="618"/>
      <c r="Z301" s="617">
        <v>100</v>
      </c>
      <c r="AA301" s="361">
        <f t="shared" si="100"/>
        <v>85.47</v>
      </c>
      <c r="AB301" s="597"/>
      <c r="AC301" s="485">
        <f t="shared" si="101"/>
        <v>0</v>
      </c>
      <c r="AD301" s="597"/>
      <c r="AE301" s="485">
        <f t="shared" si="102"/>
        <v>0</v>
      </c>
      <c r="AF301" s="508">
        <f t="shared" si="103"/>
        <v>0</v>
      </c>
      <c r="AG301" s="508">
        <f t="shared" si="104"/>
        <v>0</v>
      </c>
      <c r="AH301" s="508">
        <f t="shared" si="105"/>
        <v>100</v>
      </c>
      <c r="AI301" s="508">
        <f t="shared" si="106"/>
        <v>0</v>
      </c>
      <c r="AJ301" s="508">
        <f t="shared" si="107"/>
        <v>14.53</v>
      </c>
      <c r="AK301" s="508">
        <f t="shared" si="108"/>
        <v>100</v>
      </c>
      <c r="AL301" s="116">
        <v>10</v>
      </c>
      <c r="AM301" s="486">
        <f t="shared" si="109"/>
        <v>14.76</v>
      </c>
      <c r="AN301" s="117">
        <f t="shared" si="114"/>
        <v>-5</v>
      </c>
      <c r="AO301" s="487">
        <f t="shared" si="110"/>
        <v>-51</v>
      </c>
      <c r="AP301" s="610"/>
    </row>
    <row r="302" spans="1:42" ht="14.25" customHeight="1">
      <c r="A302" s="701">
        <v>296</v>
      </c>
      <c r="B302" s="477"/>
      <c r="C302" s="477" t="s">
        <v>1753</v>
      </c>
      <c r="D302" s="477" t="s">
        <v>1341</v>
      </c>
      <c r="E302" s="475" t="s">
        <v>1453</v>
      </c>
      <c r="F302" s="477"/>
      <c r="G302" s="482" t="s">
        <v>1943</v>
      </c>
      <c r="H302" s="482">
        <v>1</v>
      </c>
      <c r="I302" s="580">
        <v>40544</v>
      </c>
      <c r="J302" s="580">
        <v>37681</v>
      </c>
      <c r="K302" s="581">
        <v>6240</v>
      </c>
      <c r="L302" s="581">
        <v>704.27</v>
      </c>
      <c r="M302" s="582"/>
      <c r="N302" s="582"/>
      <c r="O302" s="582"/>
      <c r="P302" s="582">
        <f t="shared" si="96"/>
        <v>6240</v>
      </c>
      <c r="Q302" s="582">
        <f t="shared" si="97"/>
        <v>704.27</v>
      </c>
      <c r="R302" s="583">
        <f t="shared" si="98"/>
        <v>100</v>
      </c>
      <c r="S302" s="584"/>
      <c r="T302" s="584">
        <v>3</v>
      </c>
      <c r="U302" s="585">
        <f t="shared" si="115"/>
        <v>97</v>
      </c>
      <c r="V302" s="586">
        <f t="shared" si="99"/>
        <v>-86.23</v>
      </c>
      <c r="W302" s="611" t="s">
        <v>2074</v>
      </c>
      <c r="X302" s="618">
        <f t="shared" si="112"/>
        <v>6240</v>
      </c>
      <c r="Y302" s="618"/>
      <c r="Z302" s="617">
        <v>100</v>
      </c>
      <c r="AA302" s="361">
        <f t="shared" si="100"/>
        <v>85.47</v>
      </c>
      <c r="AB302" s="597"/>
      <c r="AC302" s="485">
        <f t="shared" si="101"/>
        <v>0</v>
      </c>
      <c r="AD302" s="597"/>
      <c r="AE302" s="485">
        <f t="shared" si="102"/>
        <v>0</v>
      </c>
      <c r="AF302" s="508">
        <f t="shared" si="103"/>
        <v>0</v>
      </c>
      <c r="AG302" s="508">
        <f t="shared" si="104"/>
        <v>0</v>
      </c>
      <c r="AH302" s="508">
        <f t="shared" si="105"/>
        <v>100</v>
      </c>
      <c r="AI302" s="508">
        <f t="shared" si="106"/>
        <v>0</v>
      </c>
      <c r="AJ302" s="508">
        <f t="shared" si="107"/>
        <v>14.53</v>
      </c>
      <c r="AK302" s="508">
        <f t="shared" si="108"/>
        <v>100</v>
      </c>
      <c r="AM302" s="486">
        <f t="shared" si="109"/>
        <v>14.76</v>
      </c>
      <c r="AN302" s="117">
        <f t="shared" si="114"/>
        <v>-15</v>
      </c>
      <c r="AO302" s="487">
        <f t="shared" si="110"/>
        <v>6250</v>
      </c>
      <c r="AP302" s="610"/>
    </row>
    <row r="303" spans="1:42" ht="14.25" customHeight="1">
      <c r="A303" s="701">
        <v>297</v>
      </c>
      <c r="B303" s="477"/>
      <c r="C303" s="477" t="s">
        <v>1616</v>
      </c>
      <c r="D303" s="477" t="s">
        <v>1342</v>
      </c>
      <c r="E303" s="475" t="s">
        <v>1453</v>
      </c>
      <c r="F303" s="477"/>
      <c r="G303" s="482" t="s">
        <v>1943</v>
      </c>
      <c r="H303" s="482">
        <v>1</v>
      </c>
      <c r="I303" s="580">
        <v>40544</v>
      </c>
      <c r="J303" s="580">
        <v>37681</v>
      </c>
      <c r="K303" s="581">
        <v>8240</v>
      </c>
      <c r="L303" s="581">
        <v>410.26</v>
      </c>
      <c r="M303" s="582"/>
      <c r="N303" s="582"/>
      <c r="O303" s="582"/>
      <c r="P303" s="582">
        <f t="shared" si="96"/>
        <v>8240</v>
      </c>
      <c r="Q303" s="582">
        <f t="shared" si="97"/>
        <v>410.26</v>
      </c>
      <c r="R303" s="583">
        <f t="shared" si="98"/>
        <v>100</v>
      </c>
      <c r="S303" s="584"/>
      <c r="T303" s="584">
        <v>3</v>
      </c>
      <c r="U303" s="585">
        <f t="shared" si="115"/>
        <v>97</v>
      </c>
      <c r="V303" s="586">
        <f t="shared" si="99"/>
        <v>-76.36</v>
      </c>
      <c r="W303" s="611" t="s">
        <v>2074</v>
      </c>
      <c r="X303" s="618">
        <f t="shared" si="112"/>
        <v>8240</v>
      </c>
      <c r="Y303" s="618"/>
      <c r="Z303" s="617">
        <v>100</v>
      </c>
      <c r="AA303" s="361">
        <f t="shared" si="100"/>
        <v>85.47</v>
      </c>
      <c r="AB303" s="597"/>
      <c r="AC303" s="485">
        <f t="shared" si="101"/>
        <v>0</v>
      </c>
      <c r="AD303" s="597"/>
      <c r="AE303" s="485">
        <f t="shared" si="102"/>
        <v>0</v>
      </c>
      <c r="AF303" s="508">
        <f t="shared" si="103"/>
        <v>0</v>
      </c>
      <c r="AG303" s="508">
        <f t="shared" si="104"/>
        <v>0</v>
      </c>
      <c r="AH303" s="508">
        <f t="shared" si="105"/>
        <v>100</v>
      </c>
      <c r="AI303" s="508">
        <f t="shared" si="106"/>
        <v>0</v>
      </c>
      <c r="AJ303" s="508">
        <f t="shared" si="107"/>
        <v>14.53</v>
      </c>
      <c r="AK303" s="508">
        <f t="shared" si="108"/>
        <v>100</v>
      </c>
      <c r="AL303" s="116">
        <v>8</v>
      </c>
      <c r="AM303" s="486">
        <f t="shared" si="109"/>
        <v>14.76</v>
      </c>
      <c r="AN303" s="117">
        <f t="shared" si="114"/>
        <v>-7</v>
      </c>
      <c r="AO303" s="487">
        <f t="shared" si="110"/>
        <v>-90</v>
      </c>
      <c r="AP303" s="610"/>
    </row>
    <row r="304" spans="1:42" ht="14.25" customHeight="1">
      <c r="A304" s="701">
        <v>298</v>
      </c>
      <c r="B304" s="477"/>
      <c r="C304" s="477" t="s">
        <v>1772</v>
      </c>
      <c r="D304" s="477" t="s">
        <v>1343</v>
      </c>
      <c r="E304" s="475" t="s">
        <v>1453</v>
      </c>
      <c r="F304" s="477"/>
      <c r="G304" s="482" t="s">
        <v>1943</v>
      </c>
      <c r="H304" s="482">
        <v>1</v>
      </c>
      <c r="I304" s="580">
        <v>40544</v>
      </c>
      <c r="J304" s="580">
        <v>37681</v>
      </c>
      <c r="K304" s="581">
        <v>4800</v>
      </c>
      <c r="L304" s="581">
        <v>0</v>
      </c>
      <c r="M304" s="582"/>
      <c r="N304" s="582"/>
      <c r="O304" s="582"/>
      <c r="P304" s="582">
        <f t="shared" si="96"/>
        <v>4800</v>
      </c>
      <c r="Q304" s="582">
        <f t="shared" si="97"/>
        <v>0</v>
      </c>
      <c r="R304" s="583">
        <f t="shared" si="98"/>
        <v>100</v>
      </c>
      <c r="S304" s="584"/>
      <c r="T304" s="584">
        <v>3</v>
      </c>
      <c r="U304" s="585">
        <f t="shared" si="115"/>
        <v>97</v>
      </c>
      <c r="V304" s="586" t="str">
        <f t="shared" si="99"/>
        <v/>
      </c>
      <c r="W304" s="611" t="s">
        <v>2074</v>
      </c>
      <c r="X304" s="618">
        <f t="shared" si="112"/>
        <v>4800</v>
      </c>
      <c r="Y304" s="618"/>
      <c r="Z304" s="617">
        <v>100</v>
      </c>
      <c r="AA304" s="361">
        <f t="shared" si="100"/>
        <v>85.47</v>
      </c>
      <c r="AB304" s="597"/>
      <c r="AC304" s="485">
        <f t="shared" si="101"/>
        <v>0</v>
      </c>
      <c r="AD304" s="597"/>
      <c r="AE304" s="485">
        <f t="shared" si="102"/>
        <v>0</v>
      </c>
      <c r="AF304" s="508">
        <f t="shared" si="103"/>
        <v>0</v>
      </c>
      <c r="AG304" s="508">
        <f t="shared" si="104"/>
        <v>0</v>
      </c>
      <c r="AH304" s="508">
        <f t="shared" si="105"/>
        <v>100</v>
      </c>
      <c r="AI304" s="508">
        <f t="shared" si="106"/>
        <v>0</v>
      </c>
      <c r="AJ304" s="508">
        <f t="shared" si="107"/>
        <v>14.53</v>
      </c>
      <c r="AK304" s="508">
        <f t="shared" si="108"/>
        <v>100</v>
      </c>
      <c r="AM304" s="486">
        <f t="shared" si="109"/>
        <v>14.76</v>
      </c>
      <c r="AN304" s="117">
        <f t="shared" si="114"/>
        <v>-15</v>
      </c>
      <c r="AO304" s="487">
        <f t="shared" si="110"/>
        <v>6250</v>
      </c>
      <c r="AP304" s="610"/>
    </row>
    <row r="305" spans="1:42" ht="14.25" customHeight="1">
      <c r="A305" s="701">
        <v>299</v>
      </c>
      <c r="B305" s="477"/>
      <c r="C305" s="477" t="s">
        <v>1486</v>
      </c>
      <c r="D305" s="477" t="s">
        <v>1344</v>
      </c>
      <c r="E305" s="475" t="s">
        <v>1453</v>
      </c>
      <c r="F305" s="477"/>
      <c r="G305" s="482" t="s">
        <v>1943</v>
      </c>
      <c r="H305" s="482">
        <v>1</v>
      </c>
      <c r="I305" s="580">
        <v>40544</v>
      </c>
      <c r="J305" s="580">
        <v>37681</v>
      </c>
      <c r="K305" s="581">
        <v>5520</v>
      </c>
      <c r="L305" s="581">
        <v>1637.04</v>
      </c>
      <c r="M305" s="582"/>
      <c r="N305" s="582"/>
      <c r="O305" s="582"/>
      <c r="P305" s="582">
        <f t="shared" si="96"/>
        <v>5520</v>
      </c>
      <c r="Q305" s="582">
        <f t="shared" si="97"/>
        <v>1637.04</v>
      </c>
      <c r="R305" s="583">
        <f t="shared" si="98"/>
        <v>100</v>
      </c>
      <c r="S305" s="584"/>
      <c r="T305" s="584">
        <v>3</v>
      </c>
      <c r="U305" s="585">
        <f t="shared" si="115"/>
        <v>97</v>
      </c>
      <c r="V305" s="586">
        <f t="shared" si="99"/>
        <v>-94.07</v>
      </c>
      <c r="W305" s="611" t="s">
        <v>2074</v>
      </c>
      <c r="X305" s="618">
        <f t="shared" ref="X305:X336" si="116">P305/H305</f>
        <v>5520</v>
      </c>
      <c r="Y305" s="618"/>
      <c r="Z305" s="617">
        <v>100</v>
      </c>
      <c r="AA305" s="361">
        <f t="shared" si="100"/>
        <v>85.47</v>
      </c>
      <c r="AB305" s="597"/>
      <c r="AC305" s="485">
        <f t="shared" si="101"/>
        <v>0</v>
      </c>
      <c r="AD305" s="597"/>
      <c r="AE305" s="485">
        <f t="shared" si="102"/>
        <v>0</v>
      </c>
      <c r="AF305" s="508">
        <f t="shared" si="103"/>
        <v>0</v>
      </c>
      <c r="AG305" s="508">
        <f t="shared" si="104"/>
        <v>0</v>
      </c>
      <c r="AH305" s="508">
        <f t="shared" si="105"/>
        <v>100</v>
      </c>
      <c r="AI305" s="508">
        <f t="shared" si="106"/>
        <v>0</v>
      </c>
      <c r="AJ305" s="508">
        <f t="shared" si="107"/>
        <v>14.53</v>
      </c>
      <c r="AK305" s="508">
        <f t="shared" si="108"/>
        <v>100</v>
      </c>
      <c r="AL305" s="116">
        <v>8</v>
      </c>
      <c r="AM305" s="486">
        <f t="shared" si="109"/>
        <v>14.76</v>
      </c>
      <c r="AN305" s="117">
        <f t="shared" si="114"/>
        <v>-7</v>
      </c>
      <c r="AO305" s="487">
        <f t="shared" si="110"/>
        <v>-90</v>
      </c>
      <c r="AP305" s="610"/>
    </row>
    <row r="306" spans="1:42" ht="14.25" customHeight="1">
      <c r="A306" s="701">
        <v>300</v>
      </c>
      <c r="B306" s="477"/>
      <c r="C306" s="477" t="s">
        <v>1480</v>
      </c>
      <c r="D306" s="477" t="s">
        <v>1345</v>
      </c>
      <c r="E306" s="475" t="s">
        <v>1453</v>
      </c>
      <c r="F306" s="477" t="s">
        <v>2021</v>
      </c>
      <c r="G306" s="482" t="s">
        <v>1943</v>
      </c>
      <c r="H306" s="482">
        <v>1</v>
      </c>
      <c r="I306" s="580">
        <v>40544</v>
      </c>
      <c r="J306" s="580">
        <v>37681</v>
      </c>
      <c r="K306" s="581">
        <v>234400</v>
      </c>
      <c r="L306" s="581">
        <v>1358.55</v>
      </c>
      <c r="M306" s="582"/>
      <c r="N306" s="582"/>
      <c r="O306" s="582"/>
      <c r="P306" s="582">
        <f t="shared" si="96"/>
        <v>234400</v>
      </c>
      <c r="Q306" s="582">
        <f t="shared" si="97"/>
        <v>1358.55</v>
      </c>
      <c r="R306" s="583">
        <f t="shared" si="98"/>
        <v>240200</v>
      </c>
      <c r="S306" s="668">
        <f>AP306</f>
        <v>10</v>
      </c>
      <c r="T306" s="584">
        <v>4</v>
      </c>
      <c r="U306" s="585">
        <f>IF(S306="",R306,ROUND(R306*(S306-T306)/100,0))</f>
        <v>14412</v>
      </c>
      <c r="V306" s="586">
        <f t="shared" si="99"/>
        <v>960.84</v>
      </c>
      <c r="W306" s="477"/>
      <c r="X306" s="618">
        <f t="shared" si="116"/>
        <v>234400</v>
      </c>
      <c r="Y306" s="618"/>
      <c r="Z306" s="489">
        <v>281000</v>
      </c>
      <c r="AA306" s="361">
        <f t="shared" si="100"/>
        <v>240170.94</v>
      </c>
      <c r="AB306" s="597"/>
      <c r="AC306" s="485">
        <f t="shared" si="101"/>
        <v>0</v>
      </c>
      <c r="AD306" s="597"/>
      <c r="AE306" s="485">
        <f t="shared" si="102"/>
        <v>0</v>
      </c>
      <c r="AF306" s="508">
        <f t="shared" si="103"/>
        <v>0</v>
      </c>
      <c r="AG306" s="508">
        <f t="shared" si="104"/>
        <v>0</v>
      </c>
      <c r="AH306" s="508">
        <f t="shared" si="105"/>
        <v>281000</v>
      </c>
      <c r="AI306" s="508">
        <f t="shared" si="106"/>
        <v>0</v>
      </c>
      <c r="AJ306" s="508">
        <f t="shared" si="107"/>
        <v>40829.06</v>
      </c>
      <c r="AK306" s="508">
        <f t="shared" si="108"/>
        <v>240200</v>
      </c>
      <c r="AL306" s="116">
        <v>14</v>
      </c>
      <c r="AM306" s="486">
        <f t="shared" si="109"/>
        <v>14.76</v>
      </c>
      <c r="AN306" s="632">
        <v>2</v>
      </c>
      <c r="AO306" s="487">
        <f t="shared" si="110"/>
        <v>12</v>
      </c>
      <c r="AP306" s="669">
        <v>10</v>
      </c>
    </row>
    <row r="307" spans="1:42" ht="14.25" customHeight="1">
      <c r="A307" s="701">
        <v>301</v>
      </c>
      <c r="B307" s="477"/>
      <c r="C307" s="477" t="s">
        <v>1611</v>
      </c>
      <c r="D307" s="477" t="s">
        <v>1332</v>
      </c>
      <c r="E307" s="475" t="s">
        <v>1453</v>
      </c>
      <c r="F307" s="477"/>
      <c r="G307" s="482" t="s">
        <v>1943</v>
      </c>
      <c r="H307" s="482">
        <v>1</v>
      </c>
      <c r="I307" s="580">
        <v>40544</v>
      </c>
      <c r="J307" s="580">
        <v>37681</v>
      </c>
      <c r="K307" s="581">
        <v>15895</v>
      </c>
      <c r="L307" s="581">
        <v>2564.1</v>
      </c>
      <c r="M307" s="582"/>
      <c r="N307" s="582"/>
      <c r="O307" s="582"/>
      <c r="P307" s="582">
        <f t="shared" si="96"/>
        <v>15895</v>
      </c>
      <c r="Q307" s="582">
        <f t="shared" si="97"/>
        <v>2564.1</v>
      </c>
      <c r="R307" s="583">
        <f t="shared" si="98"/>
        <v>0</v>
      </c>
      <c r="S307" s="584"/>
      <c r="T307" s="584"/>
      <c r="U307" s="585">
        <f t="shared" ref="U307:U317" si="117">ROUND(R307*(1-T307/100),0)</f>
        <v>0</v>
      </c>
      <c r="V307" s="586">
        <f t="shared" si="99"/>
        <v>-100</v>
      </c>
      <c r="W307" s="611" t="s">
        <v>2074</v>
      </c>
      <c r="X307" s="618">
        <f t="shared" si="116"/>
        <v>15895</v>
      </c>
      <c r="Y307" s="618"/>
      <c r="Z307" s="617">
        <v>0</v>
      </c>
      <c r="AA307" s="361">
        <f t="shared" si="100"/>
        <v>0</v>
      </c>
      <c r="AB307" s="597"/>
      <c r="AC307" s="485">
        <f t="shared" si="101"/>
        <v>0</v>
      </c>
      <c r="AD307" s="597"/>
      <c r="AE307" s="485">
        <f t="shared" si="102"/>
        <v>0</v>
      </c>
      <c r="AF307" s="508">
        <f t="shared" si="103"/>
        <v>0</v>
      </c>
      <c r="AG307" s="508">
        <f t="shared" si="104"/>
        <v>0</v>
      </c>
      <c r="AH307" s="508">
        <f t="shared" si="105"/>
        <v>0</v>
      </c>
      <c r="AI307" s="508">
        <f t="shared" si="106"/>
        <v>0</v>
      </c>
      <c r="AJ307" s="508">
        <f t="shared" si="107"/>
        <v>0</v>
      </c>
      <c r="AK307" s="508">
        <f t="shared" si="108"/>
        <v>0</v>
      </c>
      <c r="AL307" s="116">
        <v>6</v>
      </c>
      <c r="AM307" s="486">
        <f t="shared" si="109"/>
        <v>14.76</v>
      </c>
      <c r="AN307" s="117">
        <f t="shared" ref="AN307:AN342" si="118">ROUND((AL307-AM307),0)</f>
        <v>-9</v>
      </c>
      <c r="AO307" s="487">
        <f t="shared" si="110"/>
        <v>-156</v>
      </c>
      <c r="AP307" s="610"/>
    </row>
    <row r="308" spans="1:42" ht="14.25" customHeight="1">
      <c r="A308" s="701">
        <v>302</v>
      </c>
      <c r="B308" s="477"/>
      <c r="C308" s="477" t="s">
        <v>1610</v>
      </c>
      <c r="D308" s="477" t="s">
        <v>1346</v>
      </c>
      <c r="E308" s="475" t="s">
        <v>1453</v>
      </c>
      <c r="F308" s="611" t="s">
        <v>2066</v>
      </c>
      <c r="G308" s="579" t="s">
        <v>1965</v>
      </c>
      <c r="H308" s="482">
        <v>1</v>
      </c>
      <c r="I308" s="580">
        <v>40544</v>
      </c>
      <c r="J308" s="580">
        <v>37681</v>
      </c>
      <c r="K308" s="581">
        <v>7030</v>
      </c>
      <c r="L308" s="581">
        <v>600.85</v>
      </c>
      <c r="M308" s="582"/>
      <c r="N308" s="582"/>
      <c r="O308" s="582"/>
      <c r="P308" s="582">
        <f t="shared" si="96"/>
        <v>7030</v>
      </c>
      <c r="Q308" s="582">
        <f t="shared" si="97"/>
        <v>600.85</v>
      </c>
      <c r="R308" s="583">
        <f t="shared" si="98"/>
        <v>100</v>
      </c>
      <c r="S308" s="584"/>
      <c r="T308" s="584">
        <v>3</v>
      </c>
      <c r="U308" s="585">
        <f t="shared" si="117"/>
        <v>97</v>
      </c>
      <c r="V308" s="586">
        <f t="shared" si="99"/>
        <v>-83.86</v>
      </c>
      <c r="W308" s="611" t="s">
        <v>2074</v>
      </c>
      <c r="X308" s="618">
        <f t="shared" si="116"/>
        <v>7030</v>
      </c>
      <c r="Y308" s="618"/>
      <c r="Z308" s="617">
        <v>100</v>
      </c>
      <c r="AA308" s="361">
        <f t="shared" si="100"/>
        <v>85.47</v>
      </c>
      <c r="AB308" s="597"/>
      <c r="AC308" s="485">
        <f t="shared" si="101"/>
        <v>0</v>
      </c>
      <c r="AD308" s="597"/>
      <c r="AE308" s="485">
        <f t="shared" si="102"/>
        <v>0</v>
      </c>
      <c r="AF308" s="508">
        <f t="shared" si="103"/>
        <v>0</v>
      </c>
      <c r="AG308" s="508">
        <f t="shared" si="104"/>
        <v>0</v>
      </c>
      <c r="AH308" s="508">
        <f t="shared" si="105"/>
        <v>100</v>
      </c>
      <c r="AI308" s="508">
        <f t="shared" si="106"/>
        <v>0</v>
      </c>
      <c r="AJ308" s="508">
        <f t="shared" si="107"/>
        <v>14.53</v>
      </c>
      <c r="AK308" s="508">
        <f t="shared" si="108"/>
        <v>100</v>
      </c>
      <c r="AL308" s="116">
        <v>14</v>
      </c>
      <c r="AM308" s="486">
        <f t="shared" si="109"/>
        <v>14.76</v>
      </c>
      <c r="AN308" s="117">
        <f t="shared" si="118"/>
        <v>-1</v>
      </c>
      <c r="AO308" s="487">
        <f t="shared" si="110"/>
        <v>-7</v>
      </c>
      <c r="AP308" s="610"/>
    </row>
    <row r="309" spans="1:42" ht="14.25" customHeight="1">
      <c r="A309" s="701">
        <v>303</v>
      </c>
      <c r="B309" s="477"/>
      <c r="C309" s="477" t="s">
        <v>1609</v>
      </c>
      <c r="D309" s="477" t="s">
        <v>1346</v>
      </c>
      <c r="E309" s="475" t="s">
        <v>1453</v>
      </c>
      <c r="F309" s="611" t="s">
        <v>2066</v>
      </c>
      <c r="G309" s="579" t="s">
        <v>1965</v>
      </c>
      <c r="H309" s="482">
        <v>1</v>
      </c>
      <c r="I309" s="580">
        <v>40544</v>
      </c>
      <c r="J309" s="580">
        <v>37681</v>
      </c>
      <c r="K309" s="581">
        <v>7030</v>
      </c>
      <c r="L309" s="581">
        <v>4273.5</v>
      </c>
      <c r="M309" s="582"/>
      <c r="N309" s="582"/>
      <c r="O309" s="582"/>
      <c r="P309" s="582">
        <f t="shared" si="96"/>
        <v>7030</v>
      </c>
      <c r="Q309" s="582">
        <f t="shared" si="97"/>
        <v>4273.5</v>
      </c>
      <c r="R309" s="583">
        <f t="shared" si="98"/>
        <v>100</v>
      </c>
      <c r="S309" s="584"/>
      <c r="T309" s="584">
        <v>3</v>
      </c>
      <c r="U309" s="585">
        <f t="shared" si="117"/>
        <v>97</v>
      </c>
      <c r="V309" s="586">
        <f t="shared" si="99"/>
        <v>-97.73</v>
      </c>
      <c r="W309" s="611" t="s">
        <v>2074</v>
      </c>
      <c r="X309" s="618">
        <f t="shared" si="116"/>
        <v>7030</v>
      </c>
      <c r="Y309" s="618"/>
      <c r="Z309" s="617">
        <v>100</v>
      </c>
      <c r="AA309" s="361">
        <f t="shared" si="100"/>
        <v>85.47</v>
      </c>
      <c r="AB309" s="597"/>
      <c r="AC309" s="485">
        <f t="shared" si="101"/>
        <v>0</v>
      </c>
      <c r="AD309" s="597"/>
      <c r="AE309" s="485">
        <f t="shared" si="102"/>
        <v>0</v>
      </c>
      <c r="AF309" s="508">
        <f t="shared" si="103"/>
        <v>0</v>
      </c>
      <c r="AG309" s="508">
        <f t="shared" si="104"/>
        <v>0</v>
      </c>
      <c r="AH309" s="508">
        <f t="shared" si="105"/>
        <v>100</v>
      </c>
      <c r="AI309" s="508">
        <f t="shared" si="106"/>
        <v>0</v>
      </c>
      <c r="AJ309" s="508">
        <f t="shared" si="107"/>
        <v>14.53</v>
      </c>
      <c r="AK309" s="508">
        <f t="shared" si="108"/>
        <v>100</v>
      </c>
      <c r="AL309" s="116">
        <v>14</v>
      </c>
      <c r="AM309" s="486">
        <f t="shared" si="109"/>
        <v>14.76</v>
      </c>
      <c r="AN309" s="117">
        <f t="shared" si="118"/>
        <v>-1</v>
      </c>
      <c r="AO309" s="487">
        <f t="shared" si="110"/>
        <v>-7</v>
      </c>
      <c r="AP309" s="610"/>
    </row>
    <row r="310" spans="1:42" ht="14.25" customHeight="1">
      <c r="A310" s="701">
        <v>304</v>
      </c>
      <c r="B310" s="477"/>
      <c r="C310" s="477" t="s">
        <v>1665</v>
      </c>
      <c r="D310" s="477" t="s">
        <v>1347</v>
      </c>
      <c r="E310" s="475" t="s">
        <v>1453</v>
      </c>
      <c r="F310" s="611" t="s">
        <v>2066</v>
      </c>
      <c r="G310" s="579" t="s">
        <v>1965</v>
      </c>
      <c r="H310" s="482">
        <v>1</v>
      </c>
      <c r="I310" s="580">
        <v>40544</v>
      </c>
      <c r="J310" s="580">
        <v>37681</v>
      </c>
      <c r="K310" s="581">
        <v>89320</v>
      </c>
      <c r="L310" s="581">
        <v>1111.1099999999999</v>
      </c>
      <c r="M310" s="582"/>
      <c r="N310" s="582"/>
      <c r="O310" s="582"/>
      <c r="P310" s="582">
        <f t="shared" si="96"/>
        <v>89320</v>
      </c>
      <c r="Q310" s="582">
        <f t="shared" si="97"/>
        <v>1111.1099999999999</v>
      </c>
      <c r="R310" s="583">
        <f t="shared" si="98"/>
        <v>400</v>
      </c>
      <c r="S310" s="584"/>
      <c r="T310" s="584">
        <v>3</v>
      </c>
      <c r="U310" s="585">
        <f t="shared" si="117"/>
        <v>388</v>
      </c>
      <c r="V310" s="586">
        <f t="shared" si="99"/>
        <v>-65.08</v>
      </c>
      <c r="W310" s="611" t="s">
        <v>2074</v>
      </c>
      <c r="X310" s="618">
        <f t="shared" si="116"/>
        <v>89320</v>
      </c>
      <c r="Y310" s="618"/>
      <c r="Z310" s="617">
        <v>500</v>
      </c>
      <c r="AA310" s="361">
        <f t="shared" si="100"/>
        <v>427.35</v>
      </c>
      <c r="AB310" s="597"/>
      <c r="AC310" s="485">
        <f t="shared" si="101"/>
        <v>0</v>
      </c>
      <c r="AD310" s="597"/>
      <c r="AE310" s="485">
        <f t="shared" si="102"/>
        <v>0</v>
      </c>
      <c r="AF310" s="508">
        <f t="shared" si="103"/>
        <v>0</v>
      </c>
      <c r="AG310" s="508">
        <f t="shared" si="104"/>
        <v>0</v>
      </c>
      <c r="AH310" s="508">
        <f t="shared" si="105"/>
        <v>500</v>
      </c>
      <c r="AI310" s="508">
        <f t="shared" si="106"/>
        <v>0</v>
      </c>
      <c r="AJ310" s="508">
        <f t="shared" si="107"/>
        <v>72.650000000000006</v>
      </c>
      <c r="AK310" s="508">
        <f t="shared" si="108"/>
        <v>400</v>
      </c>
      <c r="AL310" s="116">
        <v>14</v>
      </c>
      <c r="AM310" s="486">
        <f t="shared" si="109"/>
        <v>14.76</v>
      </c>
      <c r="AN310" s="117">
        <f t="shared" si="118"/>
        <v>-1</v>
      </c>
      <c r="AO310" s="487">
        <f t="shared" si="110"/>
        <v>-7</v>
      </c>
      <c r="AP310" s="610"/>
    </row>
    <row r="311" spans="1:42" ht="14.25" customHeight="1">
      <c r="A311" s="701">
        <v>305</v>
      </c>
      <c r="B311" s="477"/>
      <c r="C311" s="477" t="s">
        <v>1641</v>
      </c>
      <c r="D311" s="477" t="s">
        <v>1348</v>
      </c>
      <c r="E311" s="475" t="s">
        <v>1453</v>
      </c>
      <c r="F311" s="611" t="s">
        <v>1999</v>
      </c>
      <c r="G311" s="482" t="s">
        <v>1943</v>
      </c>
      <c r="H311" s="482">
        <v>1</v>
      </c>
      <c r="I311" s="580">
        <v>41016</v>
      </c>
      <c r="J311" s="580">
        <v>41016</v>
      </c>
      <c r="K311" s="581">
        <v>13000</v>
      </c>
      <c r="L311" s="581">
        <v>1111.1099999999999</v>
      </c>
      <c r="M311" s="582"/>
      <c r="N311" s="582"/>
      <c r="O311" s="582"/>
      <c r="P311" s="582">
        <f t="shared" si="96"/>
        <v>13000</v>
      </c>
      <c r="Q311" s="582">
        <f t="shared" si="97"/>
        <v>1111.1099999999999</v>
      </c>
      <c r="R311" s="583">
        <f t="shared" si="98"/>
        <v>100</v>
      </c>
      <c r="S311" s="584"/>
      <c r="T311" s="584">
        <v>4</v>
      </c>
      <c r="U311" s="585">
        <f t="shared" si="117"/>
        <v>96</v>
      </c>
      <c r="V311" s="586">
        <f t="shared" si="99"/>
        <v>-91.36</v>
      </c>
      <c r="W311" s="611" t="s">
        <v>2079</v>
      </c>
      <c r="X311" s="618">
        <f t="shared" si="116"/>
        <v>13000</v>
      </c>
      <c r="Y311" s="618"/>
      <c r="Z311" s="617">
        <v>100</v>
      </c>
      <c r="AA311" s="361">
        <f t="shared" si="100"/>
        <v>85.47</v>
      </c>
      <c r="AB311" s="597"/>
      <c r="AC311" s="485">
        <f t="shared" si="101"/>
        <v>0</v>
      </c>
      <c r="AD311" s="597"/>
      <c r="AE311" s="485">
        <f t="shared" si="102"/>
        <v>0</v>
      </c>
      <c r="AF311" s="508">
        <f t="shared" si="103"/>
        <v>0</v>
      </c>
      <c r="AG311" s="508">
        <f t="shared" si="104"/>
        <v>0</v>
      </c>
      <c r="AH311" s="508">
        <f t="shared" si="105"/>
        <v>100</v>
      </c>
      <c r="AI311" s="508">
        <f t="shared" si="106"/>
        <v>0</v>
      </c>
      <c r="AJ311" s="508">
        <f t="shared" si="107"/>
        <v>14.53</v>
      </c>
      <c r="AK311" s="508">
        <f t="shared" si="108"/>
        <v>100</v>
      </c>
      <c r="AL311" s="116">
        <v>10</v>
      </c>
      <c r="AM311" s="486">
        <f t="shared" si="109"/>
        <v>5.62</v>
      </c>
      <c r="AN311" s="117">
        <f t="shared" si="118"/>
        <v>4</v>
      </c>
      <c r="AO311" s="487">
        <f t="shared" si="110"/>
        <v>42</v>
      </c>
      <c r="AP311" s="610"/>
    </row>
    <row r="312" spans="1:42" ht="14.25" customHeight="1">
      <c r="A312" s="701">
        <v>306</v>
      </c>
      <c r="B312" s="477"/>
      <c r="C312" s="477" t="s">
        <v>1641</v>
      </c>
      <c r="D312" s="477" t="s">
        <v>1348</v>
      </c>
      <c r="E312" s="475" t="s">
        <v>1453</v>
      </c>
      <c r="F312" s="611" t="s">
        <v>1999</v>
      </c>
      <c r="G312" s="482" t="s">
        <v>1943</v>
      </c>
      <c r="H312" s="482">
        <v>1</v>
      </c>
      <c r="I312" s="580">
        <v>41016</v>
      </c>
      <c r="J312" s="580">
        <v>41016</v>
      </c>
      <c r="K312" s="581">
        <v>13000</v>
      </c>
      <c r="L312" s="581">
        <v>5358.97</v>
      </c>
      <c r="M312" s="582"/>
      <c r="N312" s="582"/>
      <c r="O312" s="582"/>
      <c r="P312" s="582">
        <f t="shared" si="96"/>
        <v>13000</v>
      </c>
      <c r="Q312" s="582">
        <f t="shared" si="97"/>
        <v>5358.97</v>
      </c>
      <c r="R312" s="583">
        <f t="shared" si="98"/>
        <v>100</v>
      </c>
      <c r="S312" s="584"/>
      <c r="T312" s="584">
        <v>4</v>
      </c>
      <c r="U312" s="585">
        <f t="shared" si="117"/>
        <v>96</v>
      </c>
      <c r="V312" s="586">
        <f t="shared" si="99"/>
        <v>-98.21</v>
      </c>
      <c r="W312" s="611" t="s">
        <v>2079</v>
      </c>
      <c r="X312" s="618">
        <f t="shared" si="116"/>
        <v>13000</v>
      </c>
      <c r="Y312" s="618"/>
      <c r="Z312" s="617">
        <v>100</v>
      </c>
      <c r="AA312" s="361">
        <f t="shared" si="100"/>
        <v>85.47</v>
      </c>
      <c r="AB312" s="597"/>
      <c r="AC312" s="485">
        <f t="shared" si="101"/>
        <v>0</v>
      </c>
      <c r="AD312" s="597"/>
      <c r="AE312" s="485">
        <f t="shared" si="102"/>
        <v>0</v>
      </c>
      <c r="AF312" s="508">
        <f t="shared" si="103"/>
        <v>0</v>
      </c>
      <c r="AG312" s="508">
        <f t="shared" si="104"/>
        <v>0</v>
      </c>
      <c r="AH312" s="508">
        <f t="shared" si="105"/>
        <v>100</v>
      </c>
      <c r="AI312" s="508">
        <f t="shared" si="106"/>
        <v>0</v>
      </c>
      <c r="AJ312" s="508">
        <f t="shared" si="107"/>
        <v>14.53</v>
      </c>
      <c r="AK312" s="508">
        <f t="shared" si="108"/>
        <v>100</v>
      </c>
      <c r="AL312" s="116">
        <v>10</v>
      </c>
      <c r="AM312" s="486">
        <f t="shared" si="109"/>
        <v>5.62</v>
      </c>
      <c r="AN312" s="117">
        <f t="shared" si="118"/>
        <v>4</v>
      </c>
      <c r="AO312" s="487">
        <f t="shared" si="110"/>
        <v>42</v>
      </c>
      <c r="AP312" s="610"/>
    </row>
    <row r="313" spans="1:42" ht="14.25" customHeight="1">
      <c r="A313" s="701">
        <v>307</v>
      </c>
      <c r="B313" s="477"/>
      <c r="C313" s="477" t="s">
        <v>1663</v>
      </c>
      <c r="D313" s="477" t="s">
        <v>1290</v>
      </c>
      <c r="E313" s="475" t="s">
        <v>1453</v>
      </c>
      <c r="F313" s="611" t="s">
        <v>2066</v>
      </c>
      <c r="G313" s="579" t="s">
        <v>1965</v>
      </c>
      <c r="H313" s="482">
        <v>1</v>
      </c>
      <c r="I313" s="580">
        <v>40544</v>
      </c>
      <c r="J313" s="580">
        <v>37681</v>
      </c>
      <c r="K313" s="581">
        <v>62700</v>
      </c>
      <c r="L313" s="581">
        <v>3680.34</v>
      </c>
      <c r="M313" s="582"/>
      <c r="N313" s="582"/>
      <c r="O313" s="582"/>
      <c r="P313" s="582">
        <f t="shared" si="96"/>
        <v>62700</v>
      </c>
      <c r="Q313" s="582">
        <f t="shared" si="97"/>
        <v>3680.34</v>
      </c>
      <c r="R313" s="583">
        <f t="shared" si="98"/>
        <v>300</v>
      </c>
      <c r="S313" s="584"/>
      <c r="T313" s="584">
        <v>3</v>
      </c>
      <c r="U313" s="585">
        <f t="shared" si="117"/>
        <v>291</v>
      </c>
      <c r="V313" s="586">
        <f t="shared" si="99"/>
        <v>-92.09</v>
      </c>
      <c r="W313" s="611" t="s">
        <v>2074</v>
      </c>
      <c r="X313" s="618">
        <f t="shared" si="116"/>
        <v>62700</v>
      </c>
      <c r="Y313" s="618"/>
      <c r="Z313" s="617">
        <v>400</v>
      </c>
      <c r="AA313" s="361">
        <f t="shared" si="100"/>
        <v>341.88</v>
      </c>
      <c r="AB313" s="597"/>
      <c r="AC313" s="485">
        <f t="shared" si="101"/>
        <v>0</v>
      </c>
      <c r="AD313" s="597"/>
      <c r="AE313" s="485">
        <f t="shared" si="102"/>
        <v>0</v>
      </c>
      <c r="AF313" s="508">
        <f t="shared" si="103"/>
        <v>0</v>
      </c>
      <c r="AG313" s="508">
        <f t="shared" si="104"/>
        <v>0</v>
      </c>
      <c r="AH313" s="508">
        <f t="shared" si="105"/>
        <v>400</v>
      </c>
      <c r="AI313" s="508">
        <f t="shared" si="106"/>
        <v>0</v>
      </c>
      <c r="AJ313" s="508">
        <f t="shared" si="107"/>
        <v>58.12</v>
      </c>
      <c r="AK313" s="508">
        <f t="shared" si="108"/>
        <v>300</v>
      </c>
      <c r="AL313" s="116">
        <v>14</v>
      </c>
      <c r="AM313" s="486">
        <f t="shared" si="109"/>
        <v>14.76</v>
      </c>
      <c r="AN313" s="117">
        <f t="shared" si="118"/>
        <v>-1</v>
      </c>
      <c r="AO313" s="487">
        <f t="shared" si="110"/>
        <v>-7</v>
      </c>
      <c r="AP313" s="610"/>
    </row>
    <row r="314" spans="1:42" ht="14.25" customHeight="1">
      <c r="A314" s="701">
        <v>308</v>
      </c>
      <c r="B314" s="477"/>
      <c r="C314" s="477" t="s">
        <v>1636</v>
      </c>
      <c r="D314" s="477" t="s">
        <v>1328</v>
      </c>
      <c r="E314" s="475" t="s">
        <v>1453</v>
      </c>
      <c r="F314" s="611" t="s">
        <v>2066</v>
      </c>
      <c r="G314" s="579" t="s">
        <v>1967</v>
      </c>
      <c r="H314" s="482">
        <v>1</v>
      </c>
      <c r="I314" s="580">
        <v>40544</v>
      </c>
      <c r="J314" s="580">
        <v>37681</v>
      </c>
      <c r="K314" s="581">
        <v>43060</v>
      </c>
      <c r="L314" s="581">
        <v>2698.63</v>
      </c>
      <c r="M314" s="582"/>
      <c r="N314" s="582"/>
      <c r="O314" s="582"/>
      <c r="P314" s="582">
        <f t="shared" si="96"/>
        <v>43060</v>
      </c>
      <c r="Q314" s="582">
        <f t="shared" si="97"/>
        <v>2698.63</v>
      </c>
      <c r="R314" s="583">
        <f t="shared" si="98"/>
        <v>300</v>
      </c>
      <c r="S314" s="584"/>
      <c r="T314" s="584">
        <v>3</v>
      </c>
      <c r="U314" s="585">
        <f t="shared" si="117"/>
        <v>291</v>
      </c>
      <c r="V314" s="586">
        <f t="shared" si="99"/>
        <v>-89.22</v>
      </c>
      <c r="W314" s="611" t="s">
        <v>2074</v>
      </c>
      <c r="X314" s="618">
        <f t="shared" si="116"/>
        <v>43060</v>
      </c>
      <c r="Y314" s="618"/>
      <c r="Z314" s="617">
        <v>400</v>
      </c>
      <c r="AA314" s="361">
        <f t="shared" si="100"/>
        <v>341.88</v>
      </c>
      <c r="AB314" s="597"/>
      <c r="AC314" s="485">
        <f t="shared" si="101"/>
        <v>0</v>
      </c>
      <c r="AD314" s="597"/>
      <c r="AE314" s="485">
        <f t="shared" si="102"/>
        <v>0</v>
      </c>
      <c r="AF314" s="508">
        <f t="shared" si="103"/>
        <v>0</v>
      </c>
      <c r="AG314" s="508">
        <f t="shared" si="104"/>
        <v>0</v>
      </c>
      <c r="AH314" s="508">
        <f t="shared" si="105"/>
        <v>400</v>
      </c>
      <c r="AI314" s="508">
        <f t="shared" si="106"/>
        <v>0</v>
      </c>
      <c r="AJ314" s="508">
        <f t="shared" si="107"/>
        <v>58.12</v>
      </c>
      <c r="AK314" s="508">
        <f t="shared" si="108"/>
        <v>300</v>
      </c>
      <c r="AL314" s="116">
        <v>14</v>
      </c>
      <c r="AM314" s="486">
        <f t="shared" si="109"/>
        <v>14.76</v>
      </c>
      <c r="AN314" s="117">
        <f t="shared" si="118"/>
        <v>-1</v>
      </c>
      <c r="AO314" s="487">
        <f t="shared" si="110"/>
        <v>-7</v>
      </c>
      <c r="AP314" s="610"/>
    </row>
    <row r="315" spans="1:42" ht="14.25" customHeight="1">
      <c r="A315" s="701">
        <v>309</v>
      </c>
      <c r="B315" s="477"/>
      <c r="C315" s="477" t="s">
        <v>1615</v>
      </c>
      <c r="D315" s="477" t="s">
        <v>1349</v>
      </c>
      <c r="E315" s="475" t="s">
        <v>1453</v>
      </c>
      <c r="F315" s="477"/>
      <c r="G315" s="482" t="s">
        <v>1943</v>
      </c>
      <c r="H315" s="482">
        <v>1</v>
      </c>
      <c r="I315" s="580">
        <v>40544</v>
      </c>
      <c r="J315" s="580">
        <v>37681</v>
      </c>
      <c r="K315" s="581">
        <v>31574</v>
      </c>
      <c r="L315" s="581">
        <v>2698.63</v>
      </c>
      <c r="M315" s="582"/>
      <c r="N315" s="582"/>
      <c r="O315" s="582"/>
      <c r="P315" s="582">
        <f t="shared" si="96"/>
        <v>31574</v>
      </c>
      <c r="Q315" s="582">
        <f t="shared" si="97"/>
        <v>2698.63</v>
      </c>
      <c r="R315" s="583">
        <f t="shared" si="98"/>
        <v>400</v>
      </c>
      <c r="S315" s="584"/>
      <c r="T315" s="584">
        <v>3</v>
      </c>
      <c r="U315" s="585">
        <f t="shared" si="117"/>
        <v>388</v>
      </c>
      <c r="V315" s="586">
        <f t="shared" si="99"/>
        <v>-85.62</v>
      </c>
      <c r="W315" s="611" t="s">
        <v>2074</v>
      </c>
      <c r="X315" s="618">
        <f t="shared" si="116"/>
        <v>31574</v>
      </c>
      <c r="Y315" s="618"/>
      <c r="Z315" s="617">
        <v>500</v>
      </c>
      <c r="AA315" s="361">
        <f t="shared" si="100"/>
        <v>427.35</v>
      </c>
      <c r="AB315" s="597"/>
      <c r="AC315" s="485">
        <f t="shared" si="101"/>
        <v>0</v>
      </c>
      <c r="AD315" s="597"/>
      <c r="AE315" s="485">
        <f t="shared" si="102"/>
        <v>0</v>
      </c>
      <c r="AF315" s="508">
        <f t="shared" si="103"/>
        <v>0</v>
      </c>
      <c r="AG315" s="508">
        <f t="shared" si="104"/>
        <v>0</v>
      </c>
      <c r="AH315" s="508">
        <f t="shared" si="105"/>
        <v>500</v>
      </c>
      <c r="AI315" s="508">
        <f t="shared" si="106"/>
        <v>0</v>
      </c>
      <c r="AJ315" s="508">
        <f t="shared" si="107"/>
        <v>72.650000000000006</v>
      </c>
      <c r="AK315" s="508">
        <f t="shared" si="108"/>
        <v>400</v>
      </c>
      <c r="AL315" s="116">
        <v>8</v>
      </c>
      <c r="AM315" s="486">
        <f t="shared" si="109"/>
        <v>14.76</v>
      </c>
      <c r="AN315" s="117">
        <f t="shared" si="118"/>
        <v>-7</v>
      </c>
      <c r="AO315" s="487">
        <f t="shared" si="110"/>
        <v>-90</v>
      </c>
      <c r="AP315" s="610"/>
    </row>
    <row r="316" spans="1:42" ht="14.25" customHeight="1">
      <c r="A316" s="701">
        <v>310</v>
      </c>
      <c r="B316" s="477"/>
      <c r="C316" s="477" t="s">
        <v>1615</v>
      </c>
      <c r="D316" s="477" t="s">
        <v>1349</v>
      </c>
      <c r="E316" s="475" t="s">
        <v>1453</v>
      </c>
      <c r="F316" s="477"/>
      <c r="G316" s="482" t="s">
        <v>1943</v>
      </c>
      <c r="H316" s="482">
        <v>1</v>
      </c>
      <c r="I316" s="580">
        <v>40544</v>
      </c>
      <c r="J316" s="580">
        <v>37681</v>
      </c>
      <c r="K316" s="581">
        <v>31574</v>
      </c>
      <c r="L316" s="581">
        <v>2698.63</v>
      </c>
      <c r="M316" s="582"/>
      <c r="N316" s="582"/>
      <c r="O316" s="582"/>
      <c r="P316" s="582">
        <f t="shared" si="96"/>
        <v>31574</v>
      </c>
      <c r="Q316" s="582">
        <f t="shared" si="97"/>
        <v>2698.63</v>
      </c>
      <c r="R316" s="583">
        <f t="shared" si="98"/>
        <v>400</v>
      </c>
      <c r="S316" s="584"/>
      <c r="T316" s="584">
        <v>3</v>
      </c>
      <c r="U316" s="585">
        <f t="shared" si="117"/>
        <v>388</v>
      </c>
      <c r="V316" s="586">
        <f t="shared" si="99"/>
        <v>-85.62</v>
      </c>
      <c r="W316" s="611" t="s">
        <v>2074</v>
      </c>
      <c r="X316" s="618">
        <f t="shared" si="116"/>
        <v>31574</v>
      </c>
      <c r="Y316" s="618"/>
      <c r="Z316" s="617">
        <v>500</v>
      </c>
      <c r="AA316" s="361">
        <f t="shared" si="100"/>
        <v>427.35</v>
      </c>
      <c r="AB316" s="597"/>
      <c r="AC316" s="485">
        <f t="shared" si="101"/>
        <v>0</v>
      </c>
      <c r="AD316" s="597"/>
      <c r="AE316" s="485">
        <f t="shared" si="102"/>
        <v>0</v>
      </c>
      <c r="AF316" s="508">
        <f t="shared" si="103"/>
        <v>0</v>
      </c>
      <c r="AG316" s="508">
        <f t="shared" si="104"/>
        <v>0</v>
      </c>
      <c r="AH316" s="508">
        <f t="shared" si="105"/>
        <v>500</v>
      </c>
      <c r="AI316" s="508">
        <f t="shared" si="106"/>
        <v>0</v>
      </c>
      <c r="AJ316" s="508">
        <f t="shared" si="107"/>
        <v>72.650000000000006</v>
      </c>
      <c r="AK316" s="508">
        <f t="shared" si="108"/>
        <v>400</v>
      </c>
      <c r="AL316" s="116">
        <v>8</v>
      </c>
      <c r="AM316" s="486">
        <f t="shared" si="109"/>
        <v>14.76</v>
      </c>
      <c r="AN316" s="117">
        <f t="shared" si="118"/>
        <v>-7</v>
      </c>
      <c r="AO316" s="487">
        <f t="shared" si="110"/>
        <v>-90</v>
      </c>
      <c r="AP316" s="610"/>
    </row>
    <row r="317" spans="1:42" ht="14.25" customHeight="1">
      <c r="A317" s="701">
        <v>311</v>
      </c>
      <c r="B317" s="477"/>
      <c r="C317" s="477" t="s">
        <v>1615</v>
      </c>
      <c r="D317" s="477" t="s">
        <v>1349</v>
      </c>
      <c r="E317" s="475" t="s">
        <v>1453</v>
      </c>
      <c r="F317" s="477"/>
      <c r="G317" s="482" t="s">
        <v>1943</v>
      </c>
      <c r="H317" s="482">
        <v>1</v>
      </c>
      <c r="I317" s="580">
        <v>40544</v>
      </c>
      <c r="J317" s="580">
        <v>37681</v>
      </c>
      <c r="K317" s="581">
        <v>31574</v>
      </c>
      <c r="L317" s="581">
        <v>10570.36</v>
      </c>
      <c r="M317" s="582"/>
      <c r="N317" s="582"/>
      <c r="O317" s="582"/>
      <c r="P317" s="582">
        <f t="shared" si="96"/>
        <v>31574</v>
      </c>
      <c r="Q317" s="582">
        <f t="shared" si="97"/>
        <v>10570.36</v>
      </c>
      <c r="R317" s="583">
        <f t="shared" si="98"/>
        <v>400</v>
      </c>
      <c r="S317" s="584"/>
      <c r="T317" s="584">
        <v>3</v>
      </c>
      <c r="U317" s="585">
        <f t="shared" si="117"/>
        <v>388</v>
      </c>
      <c r="V317" s="586">
        <f t="shared" si="99"/>
        <v>-96.33</v>
      </c>
      <c r="W317" s="611" t="s">
        <v>2074</v>
      </c>
      <c r="X317" s="618">
        <f t="shared" si="116"/>
        <v>31574</v>
      </c>
      <c r="Y317" s="618"/>
      <c r="Z317" s="617">
        <v>500</v>
      </c>
      <c r="AA317" s="361">
        <f t="shared" si="100"/>
        <v>427.35</v>
      </c>
      <c r="AB317" s="597"/>
      <c r="AC317" s="485">
        <f t="shared" si="101"/>
        <v>0</v>
      </c>
      <c r="AD317" s="597"/>
      <c r="AE317" s="485">
        <f t="shared" si="102"/>
        <v>0</v>
      </c>
      <c r="AF317" s="508">
        <f t="shared" si="103"/>
        <v>0</v>
      </c>
      <c r="AG317" s="508">
        <f t="shared" si="104"/>
        <v>0</v>
      </c>
      <c r="AH317" s="508">
        <f t="shared" si="105"/>
        <v>500</v>
      </c>
      <c r="AI317" s="508">
        <f t="shared" si="106"/>
        <v>0</v>
      </c>
      <c r="AJ317" s="508">
        <f t="shared" si="107"/>
        <v>72.650000000000006</v>
      </c>
      <c r="AK317" s="508">
        <f t="shared" si="108"/>
        <v>400</v>
      </c>
      <c r="AL317" s="116">
        <v>8</v>
      </c>
      <c r="AM317" s="486">
        <f t="shared" si="109"/>
        <v>14.76</v>
      </c>
      <c r="AN317" s="117">
        <f t="shared" si="118"/>
        <v>-7</v>
      </c>
      <c r="AO317" s="487">
        <f t="shared" si="110"/>
        <v>-90</v>
      </c>
      <c r="AP317" s="610"/>
    </row>
    <row r="318" spans="1:42" ht="14.25" customHeight="1">
      <c r="A318" s="701">
        <v>312</v>
      </c>
      <c r="B318" s="477"/>
      <c r="C318" s="477" t="s">
        <v>1711</v>
      </c>
      <c r="D318" s="477"/>
      <c r="E318" s="475" t="s">
        <v>1453</v>
      </c>
      <c r="F318" s="477"/>
      <c r="G318" s="579" t="s">
        <v>1963</v>
      </c>
      <c r="H318" s="482">
        <v>1</v>
      </c>
      <c r="I318" s="580">
        <v>40544</v>
      </c>
      <c r="J318" s="580">
        <v>37681</v>
      </c>
      <c r="K318" s="581">
        <v>913517.11</v>
      </c>
      <c r="L318" s="581">
        <v>864.96</v>
      </c>
      <c r="M318" s="582"/>
      <c r="N318" s="582"/>
      <c r="O318" s="582"/>
      <c r="P318" s="582">
        <f t="shared" si="96"/>
        <v>913517.11</v>
      </c>
      <c r="Q318" s="582">
        <f t="shared" si="97"/>
        <v>864.96</v>
      </c>
      <c r="R318" s="583">
        <f t="shared" si="98"/>
        <v>0</v>
      </c>
      <c r="S318" s="584"/>
      <c r="T318" s="584"/>
      <c r="U318" s="585">
        <f>IF(S318="",R318,ROUND(R318*S318/100,0))</f>
        <v>0</v>
      </c>
      <c r="V318" s="586">
        <f t="shared" si="99"/>
        <v>-100</v>
      </c>
      <c r="W318" s="611" t="s">
        <v>2074</v>
      </c>
      <c r="X318" s="618">
        <f t="shared" si="116"/>
        <v>913517.11</v>
      </c>
      <c r="Y318" s="618"/>
      <c r="Z318" s="617">
        <v>0</v>
      </c>
      <c r="AA318" s="361">
        <f t="shared" si="100"/>
        <v>0</v>
      </c>
      <c r="AB318" s="597"/>
      <c r="AC318" s="485">
        <f t="shared" si="101"/>
        <v>0</v>
      </c>
      <c r="AD318" s="597"/>
      <c r="AE318" s="485">
        <f t="shared" si="102"/>
        <v>0</v>
      </c>
      <c r="AF318" s="508">
        <f t="shared" si="103"/>
        <v>0</v>
      </c>
      <c r="AG318" s="508">
        <f t="shared" si="104"/>
        <v>0</v>
      </c>
      <c r="AH318" s="508">
        <f t="shared" si="105"/>
        <v>0</v>
      </c>
      <c r="AI318" s="508">
        <f t="shared" si="106"/>
        <v>0</v>
      </c>
      <c r="AJ318" s="508">
        <f t="shared" si="107"/>
        <v>0</v>
      </c>
      <c r="AK318" s="508">
        <f t="shared" si="108"/>
        <v>0</v>
      </c>
      <c r="AM318" s="486">
        <f t="shared" si="109"/>
        <v>14.76</v>
      </c>
      <c r="AN318" s="117">
        <f t="shared" si="118"/>
        <v>-15</v>
      </c>
      <c r="AO318" s="487">
        <f t="shared" si="110"/>
        <v>6250</v>
      </c>
      <c r="AP318" s="610"/>
    </row>
    <row r="319" spans="1:42" ht="14.25" customHeight="1">
      <c r="A319" s="701">
        <v>313</v>
      </c>
      <c r="B319" s="477"/>
      <c r="C319" s="477" t="s">
        <v>1528</v>
      </c>
      <c r="D319" s="477" t="s">
        <v>1350</v>
      </c>
      <c r="E319" s="475" t="s">
        <v>1453</v>
      </c>
      <c r="F319" s="611" t="s">
        <v>2039</v>
      </c>
      <c r="G319" s="579" t="s">
        <v>1923</v>
      </c>
      <c r="H319" s="482">
        <v>1</v>
      </c>
      <c r="I319" s="580">
        <v>40544</v>
      </c>
      <c r="J319" s="580">
        <v>37681</v>
      </c>
      <c r="K319" s="581">
        <v>10120</v>
      </c>
      <c r="L319" s="581">
        <v>864.96</v>
      </c>
      <c r="M319" s="582"/>
      <c r="N319" s="582"/>
      <c r="O319" s="582"/>
      <c r="P319" s="582">
        <f t="shared" si="96"/>
        <v>10120</v>
      </c>
      <c r="Q319" s="582">
        <f t="shared" si="97"/>
        <v>864.96</v>
      </c>
      <c r="R319" s="583">
        <f t="shared" si="98"/>
        <v>200</v>
      </c>
      <c r="S319" s="584"/>
      <c r="T319" s="584"/>
      <c r="U319" s="585">
        <f>IF(S319="",R319,ROUND(R319*S319/100,0))</f>
        <v>200</v>
      </c>
      <c r="V319" s="586">
        <f t="shared" si="99"/>
        <v>-76.88</v>
      </c>
      <c r="W319" s="477"/>
      <c r="X319" s="618">
        <f t="shared" si="116"/>
        <v>10120</v>
      </c>
      <c r="Y319" s="618"/>
      <c r="Z319" s="617">
        <v>200</v>
      </c>
      <c r="AA319" s="361">
        <f t="shared" si="100"/>
        <v>170.94</v>
      </c>
      <c r="AB319" s="597"/>
      <c r="AC319" s="485">
        <f t="shared" si="101"/>
        <v>0</v>
      </c>
      <c r="AD319" s="597"/>
      <c r="AE319" s="485">
        <f t="shared" si="102"/>
        <v>0</v>
      </c>
      <c r="AF319" s="508">
        <f t="shared" si="103"/>
        <v>0</v>
      </c>
      <c r="AG319" s="508">
        <f t="shared" si="104"/>
        <v>0</v>
      </c>
      <c r="AH319" s="508">
        <f t="shared" si="105"/>
        <v>200</v>
      </c>
      <c r="AI319" s="508">
        <f t="shared" si="106"/>
        <v>0</v>
      </c>
      <c r="AJ319" s="508">
        <f t="shared" si="107"/>
        <v>29.06</v>
      </c>
      <c r="AK319" s="508">
        <f t="shared" si="108"/>
        <v>200</v>
      </c>
      <c r="AL319" s="116">
        <v>15</v>
      </c>
      <c r="AM319" s="486">
        <f t="shared" si="109"/>
        <v>14.76</v>
      </c>
      <c r="AN319" s="117">
        <f t="shared" si="118"/>
        <v>0</v>
      </c>
      <c r="AO319" s="487">
        <f t="shared" si="110"/>
        <v>0</v>
      </c>
      <c r="AP319" s="610"/>
    </row>
    <row r="320" spans="1:42" ht="14.25" customHeight="1">
      <c r="A320" s="701">
        <v>314</v>
      </c>
      <c r="B320" s="477"/>
      <c r="C320" s="477" t="s">
        <v>1528</v>
      </c>
      <c r="D320" s="477" t="s">
        <v>1350</v>
      </c>
      <c r="E320" s="475" t="s">
        <v>1453</v>
      </c>
      <c r="F320" s="611" t="s">
        <v>2039</v>
      </c>
      <c r="G320" s="579" t="s">
        <v>1923</v>
      </c>
      <c r="H320" s="482">
        <v>1</v>
      </c>
      <c r="I320" s="580">
        <v>40544</v>
      </c>
      <c r="J320" s="580">
        <v>37681</v>
      </c>
      <c r="K320" s="581">
        <v>10120</v>
      </c>
      <c r="L320" s="581">
        <v>888.89</v>
      </c>
      <c r="M320" s="582"/>
      <c r="N320" s="582"/>
      <c r="O320" s="582"/>
      <c r="P320" s="582">
        <f t="shared" si="96"/>
        <v>10120</v>
      </c>
      <c r="Q320" s="582">
        <f t="shared" si="97"/>
        <v>888.89</v>
      </c>
      <c r="R320" s="583">
        <f t="shared" si="98"/>
        <v>200</v>
      </c>
      <c r="S320" s="584"/>
      <c r="T320" s="584"/>
      <c r="U320" s="585">
        <f>IF(S320="",R320,ROUND(R320*S320/100,0))</f>
        <v>200</v>
      </c>
      <c r="V320" s="586">
        <f t="shared" si="99"/>
        <v>-77.5</v>
      </c>
      <c r="W320" s="477"/>
      <c r="X320" s="618">
        <f t="shared" si="116"/>
        <v>10120</v>
      </c>
      <c r="Y320" s="618"/>
      <c r="Z320" s="617">
        <v>200</v>
      </c>
      <c r="AA320" s="361">
        <f t="shared" si="100"/>
        <v>170.94</v>
      </c>
      <c r="AB320" s="597"/>
      <c r="AC320" s="485">
        <f t="shared" si="101"/>
        <v>0</v>
      </c>
      <c r="AD320" s="597"/>
      <c r="AE320" s="485">
        <f t="shared" si="102"/>
        <v>0</v>
      </c>
      <c r="AF320" s="508">
        <f t="shared" si="103"/>
        <v>0</v>
      </c>
      <c r="AG320" s="508">
        <f t="shared" si="104"/>
        <v>0</v>
      </c>
      <c r="AH320" s="508">
        <f t="shared" si="105"/>
        <v>200</v>
      </c>
      <c r="AI320" s="508">
        <f t="shared" si="106"/>
        <v>0</v>
      </c>
      <c r="AJ320" s="508">
        <f t="shared" si="107"/>
        <v>29.06</v>
      </c>
      <c r="AK320" s="508">
        <f t="shared" si="108"/>
        <v>200</v>
      </c>
      <c r="AL320" s="116">
        <v>15</v>
      </c>
      <c r="AM320" s="486">
        <f t="shared" si="109"/>
        <v>14.76</v>
      </c>
      <c r="AN320" s="117">
        <f t="shared" si="118"/>
        <v>0</v>
      </c>
      <c r="AO320" s="487">
        <f t="shared" si="110"/>
        <v>0</v>
      </c>
      <c r="AP320" s="610"/>
    </row>
    <row r="321" spans="1:42" ht="14.25" customHeight="1">
      <c r="A321" s="701">
        <v>315</v>
      </c>
      <c r="B321" s="477"/>
      <c r="C321" s="477" t="s">
        <v>1528</v>
      </c>
      <c r="D321" s="477" t="s">
        <v>1318</v>
      </c>
      <c r="E321" s="475" t="s">
        <v>1453</v>
      </c>
      <c r="F321" s="611" t="s">
        <v>2039</v>
      </c>
      <c r="G321" s="579" t="s">
        <v>1923</v>
      </c>
      <c r="H321" s="482">
        <v>1</v>
      </c>
      <c r="I321" s="580">
        <v>40544</v>
      </c>
      <c r="J321" s="580">
        <v>37681</v>
      </c>
      <c r="K321" s="581">
        <v>10400</v>
      </c>
      <c r="L321" s="581">
        <v>451.28</v>
      </c>
      <c r="M321" s="582"/>
      <c r="N321" s="582"/>
      <c r="O321" s="582"/>
      <c r="P321" s="582">
        <f t="shared" si="96"/>
        <v>10400</v>
      </c>
      <c r="Q321" s="582">
        <f t="shared" si="97"/>
        <v>451.28</v>
      </c>
      <c r="R321" s="583">
        <f t="shared" si="98"/>
        <v>200</v>
      </c>
      <c r="S321" s="584"/>
      <c r="T321" s="584"/>
      <c r="U321" s="585">
        <f>IF(S321="",R321,ROUND(R321*S321/100,0))</f>
        <v>200</v>
      </c>
      <c r="V321" s="586">
        <f t="shared" si="99"/>
        <v>-55.68</v>
      </c>
      <c r="W321" s="477"/>
      <c r="X321" s="618">
        <f t="shared" si="116"/>
        <v>10400</v>
      </c>
      <c r="Y321" s="618"/>
      <c r="Z321" s="617">
        <v>200</v>
      </c>
      <c r="AA321" s="361">
        <f t="shared" si="100"/>
        <v>170.94</v>
      </c>
      <c r="AB321" s="597"/>
      <c r="AC321" s="485">
        <f t="shared" si="101"/>
        <v>0</v>
      </c>
      <c r="AD321" s="597"/>
      <c r="AE321" s="485">
        <f t="shared" si="102"/>
        <v>0</v>
      </c>
      <c r="AF321" s="508">
        <f t="shared" si="103"/>
        <v>0</v>
      </c>
      <c r="AG321" s="508">
        <f t="shared" si="104"/>
        <v>0</v>
      </c>
      <c r="AH321" s="508">
        <f t="shared" si="105"/>
        <v>200</v>
      </c>
      <c r="AI321" s="508">
        <f t="shared" si="106"/>
        <v>0</v>
      </c>
      <c r="AJ321" s="508">
        <f t="shared" si="107"/>
        <v>29.06</v>
      </c>
      <c r="AK321" s="508">
        <f t="shared" si="108"/>
        <v>200</v>
      </c>
      <c r="AL321" s="116">
        <v>15</v>
      </c>
      <c r="AM321" s="486">
        <f t="shared" si="109"/>
        <v>14.76</v>
      </c>
      <c r="AN321" s="117">
        <f t="shared" si="118"/>
        <v>0</v>
      </c>
      <c r="AO321" s="487">
        <f t="shared" si="110"/>
        <v>0</v>
      </c>
      <c r="AP321" s="610"/>
    </row>
    <row r="322" spans="1:42" ht="14.25" customHeight="1">
      <c r="A322" s="701">
        <v>316</v>
      </c>
      <c r="B322" s="477"/>
      <c r="C322" s="477" t="s">
        <v>1786</v>
      </c>
      <c r="D322" s="477" t="s">
        <v>1282</v>
      </c>
      <c r="E322" s="475" t="s">
        <v>1453</v>
      </c>
      <c r="F322" s="611" t="s">
        <v>2067</v>
      </c>
      <c r="G322" s="579" t="s">
        <v>1923</v>
      </c>
      <c r="H322" s="482">
        <v>1</v>
      </c>
      <c r="I322" s="580">
        <v>40544</v>
      </c>
      <c r="J322" s="580">
        <v>37681</v>
      </c>
      <c r="K322" s="581">
        <v>5280</v>
      </c>
      <c r="L322" s="581">
        <v>451.28</v>
      </c>
      <c r="M322" s="582"/>
      <c r="N322" s="582"/>
      <c r="O322" s="582"/>
      <c r="P322" s="582">
        <f t="shared" si="96"/>
        <v>5280</v>
      </c>
      <c r="Q322" s="582">
        <f t="shared" si="97"/>
        <v>451.28</v>
      </c>
      <c r="R322" s="583">
        <f t="shared" si="98"/>
        <v>0</v>
      </c>
      <c r="S322" s="584"/>
      <c r="T322" s="584"/>
      <c r="U322" s="585">
        <f>ROUND(R322*(1-T322/100),0)</f>
        <v>0</v>
      </c>
      <c r="V322" s="586">
        <f t="shared" si="99"/>
        <v>-100</v>
      </c>
      <c r="W322" s="611" t="s">
        <v>2074</v>
      </c>
      <c r="X322" s="618">
        <f t="shared" si="116"/>
        <v>5280</v>
      </c>
      <c r="Y322" s="618"/>
      <c r="Z322" s="617">
        <v>0</v>
      </c>
      <c r="AA322" s="361">
        <f t="shared" si="100"/>
        <v>0</v>
      </c>
      <c r="AB322" s="597"/>
      <c r="AC322" s="485">
        <f t="shared" si="101"/>
        <v>0</v>
      </c>
      <c r="AD322" s="597"/>
      <c r="AE322" s="485">
        <f t="shared" si="102"/>
        <v>0</v>
      </c>
      <c r="AF322" s="508">
        <f t="shared" si="103"/>
        <v>0</v>
      </c>
      <c r="AG322" s="508">
        <f t="shared" si="104"/>
        <v>0</v>
      </c>
      <c r="AH322" s="508">
        <f t="shared" si="105"/>
        <v>0</v>
      </c>
      <c r="AI322" s="508">
        <f t="shared" si="106"/>
        <v>0</v>
      </c>
      <c r="AJ322" s="508">
        <f t="shared" si="107"/>
        <v>0</v>
      </c>
      <c r="AK322" s="508">
        <f t="shared" si="108"/>
        <v>0</v>
      </c>
      <c r="AM322" s="486">
        <f t="shared" si="109"/>
        <v>14.76</v>
      </c>
      <c r="AN322" s="117">
        <f t="shared" si="118"/>
        <v>-15</v>
      </c>
      <c r="AO322" s="487">
        <f t="shared" si="110"/>
        <v>6250</v>
      </c>
      <c r="AP322" s="610"/>
    </row>
    <row r="323" spans="1:42" ht="14.25" customHeight="1">
      <c r="A323" s="701">
        <v>317</v>
      </c>
      <c r="B323" s="477"/>
      <c r="C323" s="477" t="s">
        <v>1786</v>
      </c>
      <c r="D323" s="477" t="s">
        <v>1351</v>
      </c>
      <c r="E323" s="475" t="s">
        <v>1453</v>
      </c>
      <c r="F323" s="611" t="s">
        <v>2067</v>
      </c>
      <c r="G323" s="579" t="s">
        <v>1923</v>
      </c>
      <c r="H323" s="482">
        <v>1</v>
      </c>
      <c r="I323" s="580">
        <v>40544</v>
      </c>
      <c r="J323" s="580">
        <v>37681</v>
      </c>
      <c r="K323" s="581">
        <v>5280</v>
      </c>
      <c r="L323" s="581">
        <v>479.49</v>
      </c>
      <c r="M323" s="582"/>
      <c r="N323" s="582"/>
      <c r="O323" s="582"/>
      <c r="P323" s="582">
        <f t="shared" si="96"/>
        <v>5280</v>
      </c>
      <c r="Q323" s="582">
        <f t="shared" si="97"/>
        <v>479.49</v>
      </c>
      <c r="R323" s="583">
        <f t="shared" si="98"/>
        <v>0</v>
      </c>
      <c r="S323" s="584"/>
      <c r="T323" s="584"/>
      <c r="U323" s="585">
        <f>ROUND(R323*(1-T323/100),0)</f>
        <v>0</v>
      </c>
      <c r="V323" s="586">
        <f t="shared" si="99"/>
        <v>-100</v>
      </c>
      <c r="W323" s="611" t="s">
        <v>2074</v>
      </c>
      <c r="X323" s="618">
        <f t="shared" si="116"/>
        <v>5280</v>
      </c>
      <c r="Y323" s="618"/>
      <c r="Z323" s="617">
        <v>0</v>
      </c>
      <c r="AA323" s="361">
        <f t="shared" si="100"/>
        <v>0</v>
      </c>
      <c r="AB323" s="597"/>
      <c r="AC323" s="485">
        <f t="shared" si="101"/>
        <v>0</v>
      </c>
      <c r="AD323" s="597"/>
      <c r="AE323" s="485">
        <f t="shared" si="102"/>
        <v>0</v>
      </c>
      <c r="AF323" s="508">
        <f t="shared" si="103"/>
        <v>0</v>
      </c>
      <c r="AG323" s="508">
        <f t="shared" si="104"/>
        <v>0</v>
      </c>
      <c r="AH323" s="508">
        <f t="shared" si="105"/>
        <v>0</v>
      </c>
      <c r="AI323" s="508">
        <f t="shared" si="106"/>
        <v>0</v>
      </c>
      <c r="AJ323" s="508">
        <f t="shared" si="107"/>
        <v>0</v>
      </c>
      <c r="AK323" s="508">
        <f t="shared" si="108"/>
        <v>0</v>
      </c>
      <c r="AM323" s="486">
        <f t="shared" si="109"/>
        <v>14.76</v>
      </c>
      <c r="AN323" s="117">
        <f t="shared" si="118"/>
        <v>-15</v>
      </c>
      <c r="AO323" s="487">
        <f t="shared" si="110"/>
        <v>6250</v>
      </c>
      <c r="AP323" s="610"/>
    </row>
    <row r="324" spans="1:42" ht="14.25" customHeight="1">
      <c r="A324" s="701">
        <v>318</v>
      </c>
      <c r="B324" s="477"/>
      <c r="C324" s="477" t="s">
        <v>1787</v>
      </c>
      <c r="D324" s="477" t="s">
        <v>1352</v>
      </c>
      <c r="E324" s="475" t="s">
        <v>1453</v>
      </c>
      <c r="F324" s="611" t="s">
        <v>2067</v>
      </c>
      <c r="G324" s="579" t="s">
        <v>1923</v>
      </c>
      <c r="H324" s="482">
        <v>1</v>
      </c>
      <c r="I324" s="580">
        <v>40544</v>
      </c>
      <c r="J324" s="580">
        <v>37681</v>
      </c>
      <c r="K324" s="581">
        <v>5610</v>
      </c>
      <c r="L324" s="581">
        <v>427.35</v>
      </c>
      <c r="M324" s="582"/>
      <c r="N324" s="582"/>
      <c r="O324" s="582"/>
      <c r="P324" s="582">
        <f t="shared" si="96"/>
        <v>5610</v>
      </c>
      <c r="Q324" s="582">
        <f t="shared" si="97"/>
        <v>427.35</v>
      </c>
      <c r="R324" s="583">
        <f t="shared" si="98"/>
        <v>0</v>
      </c>
      <c r="S324" s="584"/>
      <c r="T324" s="584"/>
      <c r="U324" s="585">
        <f>ROUND(R324*(1-T324/100),0)</f>
        <v>0</v>
      </c>
      <c r="V324" s="586">
        <f t="shared" si="99"/>
        <v>-100</v>
      </c>
      <c r="W324" s="611" t="s">
        <v>2074</v>
      </c>
      <c r="X324" s="618">
        <f t="shared" si="116"/>
        <v>5610</v>
      </c>
      <c r="Y324" s="618"/>
      <c r="Z324" s="617">
        <v>0</v>
      </c>
      <c r="AA324" s="361">
        <f t="shared" si="100"/>
        <v>0</v>
      </c>
      <c r="AB324" s="597"/>
      <c r="AC324" s="485">
        <f t="shared" si="101"/>
        <v>0</v>
      </c>
      <c r="AD324" s="597"/>
      <c r="AE324" s="485">
        <f t="shared" si="102"/>
        <v>0</v>
      </c>
      <c r="AF324" s="508">
        <f t="shared" si="103"/>
        <v>0</v>
      </c>
      <c r="AG324" s="508">
        <f t="shared" si="104"/>
        <v>0</v>
      </c>
      <c r="AH324" s="508">
        <f t="shared" si="105"/>
        <v>0</v>
      </c>
      <c r="AI324" s="508">
        <f t="shared" si="106"/>
        <v>0</v>
      </c>
      <c r="AJ324" s="508">
        <f t="shared" si="107"/>
        <v>0</v>
      </c>
      <c r="AK324" s="508">
        <f t="shared" si="108"/>
        <v>0</v>
      </c>
      <c r="AM324" s="486">
        <f t="shared" si="109"/>
        <v>14.76</v>
      </c>
      <c r="AN324" s="117">
        <f t="shared" si="118"/>
        <v>-15</v>
      </c>
      <c r="AO324" s="487">
        <f t="shared" si="110"/>
        <v>6250</v>
      </c>
      <c r="AP324" s="610"/>
    </row>
    <row r="325" spans="1:42" ht="14.25" customHeight="1">
      <c r="A325" s="701">
        <v>319</v>
      </c>
      <c r="B325" s="477"/>
      <c r="C325" s="477" t="s">
        <v>1620</v>
      </c>
      <c r="D325" s="477" t="s">
        <v>1353</v>
      </c>
      <c r="E325" s="475" t="s">
        <v>1453</v>
      </c>
      <c r="F325" s="477"/>
      <c r="G325" s="482" t="s">
        <v>1943</v>
      </c>
      <c r="H325" s="482">
        <v>1</v>
      </c>
      <c r="I325" s="580">
        <v>40544</v>
      </c>
      <c r="J325" s="580">
        <v>37681</v>
      </c>
      <c r="K325" s="581">
        <v>5000</v>
      </c>
      <c r="L325" s="581">
        <v>0</v>
      </c>
      <c r="M325" s="582"/>
      <c r="N325" s="582"/>
      <c r="O325" s="582"/>
      <c r="P325" s="582">
        <f t="shared" si="96"/>
        <v>5000</v>
      </c>
      <c r="Q325" s="582">
        <f t="shared" si="97"/>
        <v>0</v>
      </c>
      <c r="R325" s="583">
        <f t="shared" si="98"/>
        <v>100</v>
      </c>
      <c r="S325" s="584"/>
      <c r="T325" s="584">
        <v>3</v>
      </c>
      <c r="U325" s="585">
        <f>ROUND(R325*(1-T325/100),0)</f>
        <v>97</v>
      </c>
      <c r="V325" s="586" t="str">
        <f t="shared" si="99"/>
        <v/>
      </c>
      <c r="W325" s="611" t="s">
        <v>2074</v>
      </c>
      <c r="X325" s="618">
        <f t="shared" si="116"/>
        <v>5000</v>
      </c>
      <c r="Y325" s="618"/>
      <c r="Z325" s="617">
        <v>100</v>
      </c>
      <c r="AA325" s="361">
        <f t="shared" si="100"/>
        <v>85.47</v>
      </c>
      <c r="AB325" s="597"/>
      <c r="AC325" s="485">
        <f t="shared" si="101"/>
        <v>0</v>
      </c>
      <c r="AD325" s="597"/>
      <c r="AE325" s="485">
        <f t="shared" si="102"/>
        <v>0</v>
      </c>
      <c r="AF325" s="508">
        <f t="shared" si="103"/>
        <v>0</v>
      </c>
      <c r="AG325" s="508">
        <f t="shared" si="104"/>
        <v>0</v>
      </c>
      <c r="AH325" s="508">
        <f t="shared" si="105"/>
        <v>100</v>
      </c>
      <c r="AI325" s="508">
        <f t="shared" si="106"/>
        <v>0</v>
      </c>
      <c r="AJ325" s="508">
        <f t="shared" si="107"/>
        <v>14.53</v>
      </c>
      <c r="AK325" s="508">
        <f t="shared" si="108"/>
        <v>100</v>
      </c>
      <c r="AL325" s="116">
        <v>8</v>
      </c>
      <c r="AM325" s="486">
        <f t="shared" si="109"/>
        <v>14.76</v>
      </c>
      <c r="AN325" s="117">
        <f t="shared" si="118"/>
        <v>-7</v>
      </c>
      <c r="AO325" s="487">
        <f t="shared" si="110"/>
        <v>-90</v>
      </c>
      <c r="AP325" s="610"/>
    </row>
    <row r="326" spans="1:42" ht="14.25" customHeight="1">
      <c r="A326" s="701">
        <v>320</v>
      </c>
      <c r="B326" s="477"/>
      <c r="C326" s="477" t="s">
        <v>1844</v>
      </c>
      <c r="D326" s="477" t="s">
        <v>1354</v>
      </c>
      <c r="E326" s="475" t="s">
        <v>1453</v>
      </c>
      <c r="F326" s="611" t="s">
        <v>2039</v>
      </c>
      <c r="G326" s="579" t="s">
        <v>1923</v>
      </c>
      <c r="H326" s="482">
        <v>1</v>
      </c>
      <c r="I326" s="580">
        <v>40544</v>
      </c>
      <c r="J326" s="580">
        <v>37681</v>
      </c>
      <c r="K326" s="581">
        <v>3060</v>
      </c>
      <c r="L326" s="581">
        <v>0</v>
      </c>
      <c r="M326" s="582"/>
      <c r="N326" s="582"/>
      <c r="O326" s="582"/>
      <c r="P326" s="582">
        <f t="shared" si="96"/>
        <v>3060</v>
      </c>
      <c r="Q326" s="582">
        <f t="shared" si="97"/>
        <v>0</v>
      </c>
      <c r="R326" s="583">
        <f t="shared" si="98"/>
        <v>200</v>
      </c>
      <c r="S326" s="584"/>
      <c r="T326" s="584"/>
      <c r="U326" s="585">
        <f>IF(S326="",R326,ROUND(R326*S326/100,0))</f>
        <v>200</v>
      </c>
      <c r="V326" s="586" t="str">
        <f t="shared" si="99"/>
        <v/>
      </c>
      <c r="W326" s="477"/>
      <c r="X326" s="618">
        <f t="shared" si="116"/>
        <v>3060</v>
      </c>
      <c r="Y326" s="618"/>
      <c r="Z326" s="617">
        <v>200</v>
      </c>
      <c r="AA326" s="361">
        <f t="shared" si="100"/>
        <v>170.94</v>
      </c>
      <c r="AB326" s="597"/>
      <c r="AC326" s="485">
        <f t="shared" si="101"/>
        <v>0</v>
      </c>
      <c r="AD326" s="597"/>
      <c r="AE326" s="485">
        <f t="shared" si="102"/>
        <v>0</v>
      </c>
      <c r="AF326" s="508">
        <f t="shared" si="103"/>
        <v>0</v>
      </c>
      <c r="AG326" s="508">
        <f t="shared" si="104"/>
        <v>0</v>
      </c>
      <c r="AH326" s="508">
        <f t="shared" si="105"/>
        <v>200</v>
      </c>
      <c r="AI326" s="508">
        <f t="shared" si="106"/>
        <v>0</v>
      </c>
      <c r="AJ326" s="508">
        <f t="shared" si="107"/>
        <v>29.06</v>
      </c>
      <c r="AK326" s="508">
        <f t="shared" si="108"/>
        <v>200</v>
      </c>
      <c r="AL326" s="116">
        <v>15</v>
      </c>
      <c r="AM326" s="486">
        <f t="shared" si="109"/>
        <v>14.76</v>
      </c>
      <c r="AN326" s="117">
        <f t="shared" si="118"/>
        <v>0</v>
      </c>
      <c r="AO326" s="487">
        <f t="shared" si="110"/>
        <v>0</v>
      </c>
      <c r="AP326" s="610"/>
    </row>
    <row r="327" spans="1:42" ht="14.25" customHeight="1">
      <c r="A327" s="701">
        <v>321</v>
      </c>
      <c r="B327" s="477"/>
      <c r="C327" s="477" t="s">
        <v>1649</v>
      </c>
      <c r="D327" s="477" t="s">
        <v>1354</v>
      </c>
      <c r="E327" s="475" t="s">
        <v>1453</v>
      </c>
      <c r="F327" s="477"/>
      <c r="G327" s="579" t="s">
        <v>1965</v>
      </c>
      <c r="H327" s="482">
        <v>1</v>
      </c>
      <c r="I327" s="580">
        <v>40544</v>
      </c>
      <c r="J327" s="580">
        <v>37681</v>
      </c>
      <c r="K327" s="581">
        <v>2560</v>
      </c>
      <c r="L327" s="581">
        <v>0</v>
      </c>
      <c r="M327" s="582"/>
      <c r="N327" s="582"/>
      <c r="O327" s="582"/>
      <c r="P327" s="582">
        <f t="shared" ref="P327:P390" si="119">K327+N327</f>
        <v>2560</v>
      </c>
      <c r="Q327" s="582">
        <f t="shared" ref="Q327:Q390" si="120">L327+O327</f>
        <v>0</v>
      </c>
      <c r="R327" s="583">
        <f t="shared" ref="R327:R390" si="121">AK327</f>
        <v>0</v>
      </c>
      <c r="S327" s="584"/>
      <c r="T327" s="584"/>
      <c r="U327" s="585">
        <f t="shared" ref="U327:U342" si="122">ROUND(R327*(1-T327/100),0)</f>
        <v>0</v>
      </c>
      <c r="V327" s="586" t="str">
        <f t="shared" ref="V327:V390" si="123">IF(Q327=0,"",(U327-Q327)/Q327*100)</f>
        <v/>
      </c>
      <c r="W327" s="611" t="s">
        <v>2074</v>
      </c>
      <c r="X327" s="618">
        <f t="shared" si="116"/>
        <v>2560</v>
      </c>
      <c r="Y327" s="618"/>
      <c r="Z327" s="617">
        <v>0</v>
      </c>
      <c r="AA327" s="361">
        <f t="shared" ref="AA327:AA390" si="124">Z327/1.17</f>
        <v>0</v>
      </c>
      <c r="AB327" s="597"/>
      <c r="AC327" s="485">
        <f t="shared" ref="AC327:AC390" si="125">Z327*AB327</f>
        <v>0</v>
      </c>
      <c r="AD327" s="597"/>
      <c r="AE327" s="485">
        <f t="shared" ref="AE327:AE390" si="126">Z327*AD327</f>
        <v>0</v>
      </c>
      <c r="AF327" s="508">
        <f t="shared" ref="AF327:AF390" si="127">(Z327+AC327+AE327)*AF$4</f>
        <v>0</v>
      </c>
      <c r="AG327" s="508">
        <f t="shared" ref="AG327:AG390" si="128">(Z327+AC327+AE327)*AG$4</f>
        <v>0</v>
      </c>
      <c r="AH327" s="508">
        <f t="shared" ref="AH327:AH390" si="129">Z327+AC327+AE327+AF327</f>
        <v>0</v>
      </c>
      <c r="AI327" s="508">
        <f t="shared" ref="AI327:AI390" si="130">AH327*AI$3*AI$4/2</f>
        <v>0</v>
      </c>
      <c r="AJ327" s="508">
        <f t="shared" ref="AJ327:AJ390" si="131">Z327*0.17/1.17+AC327*0.11/1.11+AE327*0.11/1.11+AF327-AG327</f>
        <v>0</v>
      </c>
      <c r="AK327" s="508">
        <f t="shared" ref="AK327:AK390" si="132">ROUND((Z327+AC327+AE327+AF327+AI327-AJ327)*H327,-2)</f>
        <v>0</v>
      </c>
      <c r="AL327" s="116">
        <v>10</v>
      </c>
      <c r="AM327" s="486">
        <f t="shared" ref="AM327:AM390" si="133">(AM$4-J327)/365</f>
        <v>14.76</v>
      </c>
      <c r="AN327" s="117">
        <f t="shared" si="118"/>
        <v>-5</v>
      </c>
      <c r="AO327" s="487">
        <f t="shared" ref="AO327:AO390" si="134">AN327/(AM327+AN327)*100</f>
        <v>-51</v>
      </c>
      <c r="AP327" s="610"/>
    </row>
    <row r="328" spans="1:42" ht="14.25" customHeight="1">
      <c r="A328" s="701">
        <v>322</v>
      </c>
      <c r="B328" s="477"/>
      <c r="C328" s="477" t="s">
        <v>1491</v>
      </c>
      <c r="D328" s="477" t="s">
        <v>1354</v>
      </c>
      <c r="E328" s="475" t="s">
        <v>1453</v>
      </c>
      <c r="F328" s="477"/>
      <c r="G328" s="579" t="s">
        <v>1964</v>
      </c>
      <c r="H328" s="482">
        <v>1</v>
      </c>
      <c r="I328" s="580">
        <v>40544</v>
      </c>
      <c r="J328" s="580">
        <v>37681</v>
      </c>
      <c r="K328" s="581">
        <v>5610</v>
      </c>
      <c r="L328" s="581">
        <v>273.5</v>
      </c>
      <c r="M328" s="582"/>
      <c r="N328" s="582"/>
      <c r="O328" s="582"/>
      <c r="P328" s="582">
        <f t="shared" si="119"/>
        <v>5610</v>
      </c>
      <c r="Q328" s="582">
        <f t="shared" si="120"/>
        <v>273.5</v>
      </c>
      <c r="R328" s="583">
        <f t="shared" si="121"/>
        <v>0</v>
      </c>
      <c r="S328" s="584"/>
      <c r="T328" s="584"/>
      <c r="U328" s="585">
        <f t="shared" si="122"/>
        <v>0</v>
      </c>
      <c r="V328" s="586">
        <f t="shared" si="123"/>
        <v>-100</v>
      </c>
      <c r="W328" s="611" t="s">
        <v>2074</v>
      </c>
      <c r="X328" s="618">
        <f t="shared" si="116"/>
        <v>5610</v>
      </c>
      <c r="Y328" s="618"/>
      <c r="Z328" s="617">
        <v>0</v>
      </c>
      <c r="AA328" s="361">
        <f t="shared" si="124"/>
        <v>0</v>
      </c>
      <c r="AB328" s="597"/>
      <c r="AC328" s="485">
        <f t="shared" si="125"/>
        <v>0</v>
      </c>
      <c r="AD328" s="597"/>
      <c r="AE328" s="485">
        <f t="shared" si="126"/>
        <v>0</v>
      </c>
      <c r="AF328" s="508">
        <f t="shared" si="127"/>
        <v>0</v>
      </c>
      <c r="AG328" s="508">
        <f t="shared" si="128"/>
        <v>0</v>
      </c>
      <c r="AH328" s="508">
        <f t="shared" si="129"/>
        <v>0</v>
      </c>
      <c r="AI328" s="508">
        <f t="shared" si="130"/>
        <v>0</v>
      </c>
      <c r="AJ328" s="508">
        <f t="shared" si="131"/>
        <v>0</v>
      </c>
      <c r="AK328" s="508">
        <f t="shared" si="132"/>
        <v>0</v>
      </c>
      <c r="AL328" s="116">
        <v>10</v>
      </c>
      <c r="AM328" s="486">
        <f t="shared" si="133"/>
        <v>14.76</v>
      </c>
      <c r="AN328" s="117">
        <f t="shared" si="118"/>
        <v>-5</v>
      </c>
      <c r="AO328" s="487">
        <f t="shared" si="134"/>
        <v>-51</v>
      </c>
      <c r="AP328" s="610"/>
    </row>
    <row r="329" spans="1:42" ht="14.25" customHeight="1">
      <c r="A329" s="701">
        <v>323</v>
      </c>
      <c r="B329" s="477"/>
      <c r="C329" s="477" t="s">
        <v>1709</v>
      </c>
      <c r="D329" s="477"/>
      <c r="E329" s="475" t="s">
        <v>1453</v>
      </c>
      <c r="F329" s="611" t="s">
        <v>2020</v>
      </c>
      <c r="G329" s="579" t="s">
        <v>1923</v>
      </c>
      <c r="H329" s="482">
        <v>1</v>
      </c>
      <c r="I329" s="580">
        <v>40544</v>
      </c>
      <c r="J329" s="580">
        <v>37681</v>
      </c>
      <c r="K329" s="581">
        <v>3200</v>
      </c>
      <c r="L329" s="581">
        <v>0</v>
      </c>
      <c r="M329" s="582"/>
      <c r="N329" s="582"/>
      <c r="O329" s="582"/>
      <c r="P329" s="582">
        <f t="shared" si="119"/>
        <v>3200</v>
      </c>
      <c r="Q329" s="582">
        <f t="shared" si="120"/>
        <v>0</v>
      </c>
      <c r="R329" s="583">
        <f t="shared" si="121"/>
        <v>0</v>
      </c>
      <c r="S329" s="584"/>
      <c r="T329" s="584"/>
      <c r="U329" s="585">
        <f t="shared" si="122"/>
        <v>0</v>
      </c>
      <c r="V329" s="586" t="str">
        <f t="shared" si="123"/>
        <v/>
      </c>
      <c r="W329" s="611" t="s">
        <v>2074</v>
      </c>
      <c r="X329" s="618">
        <f t="shared" si="116"/>
        <v>3200</v>
      </c>
      <c r="Y329" s="618"/>
      <c r="Z329" s="617">
        <v>0</v>
      </c>
      <c r="AA329" s="361">
        <f t="shared" si="124"/>
        <v>0</v>
      </c>
      <c r="AB329" s="597"/>
      <c r="AC329" s="485">
        <f t="shared" si="125"/>
        <v>0</v>
      </c>
      <c r="AD329" s="597"/>
      <c r="AE329" s="485">
        <f t="shared" si="126"/>
        <v>0</v>
      </c>
      <c r="AF329" s="508">
        <f t="shared" si="127"/>
        <v>0</v>
      </c>
      <c r="AG329" s="508">
        <f t="shared" si="128"/>
        <v>0</v>
      </c>
      <c r="AH329" s="508">
        <f t="shared" si="129"/>
        <v>0</v>
      </c>
      <c r="AI329" s="508">
        <f t="shared" si="130"/>
        <v>0</v>
      </c>
      <c r="AJ329" s="508">
        <f t="shared" si="131"/>
        <v>0</v>
      </c>
      <c r="AK329" s="508">
        <f t="shared" si="132"/>
        <v>0</v>
      </c>
      <c r="AM329" s="486">
        <f t="shared" si="133"/>
        <v>14.76</v>
      </c>
      <c r="AN329" s="117">
        <f t="shared" si="118"/>
        <v>-15</v>
      </c>
      <c r="AO329" s="487">
        <f t="shared" si="134"/>
        <v>6250</v>
      </c>
      <c r="AP329" s="610"/>
    </row>
    <row r="330" spans="1:42" ht="14.25" customHeight="1">
      <c r="A330" s="701">
        <v>324</v>
      </c>
      <c r="B330" s="477"/>
      <c r="C330" s="477" t="s">
        <v>1773</v>
      </c>
      <c r="D330" s="477" t="s">
        <v>1355</v>
      </c>
      <c r="E330" s="475" t="s">
        <v>1453</v>
      </c>
      <c r="F330" s="477"/>
      <c r="G330" s="579" t="s">
        <v>1923</v>
      </c>
      <c r="H330" s="482">
        <v>1</v>
      </c>
      <c r="I330" s="580">
        <v>40544</v>
      </c>
      <c r="J330" s="580">
        <v>37681</v>
      </c>
      <c r="K330" s="581">
        <v>29520</v>
      </c>
      <c r="L330" s="581">
        <v>15936.36</v>
      </c>
      <c r="M330" s="582"/>
      <c r="N330" s="582"/>
      <c r="O330" s="582"/>
      <c r="P330" s="582">
        <f t="shared" si="119"/>
        <v>29520</v>
      </c>
      <c r="Q330" s="582">
        <f t="shared" si="120"/>
        <v>15936.36</v>
      </c>
      <c r="R330" s="583">
        <f t="shared" si="121"/>
        <v>0</v>
      </c>
      <c r="S330" s="584"/>
      <c r="T330" s="584"/>
      <c r="U330" s="585">
        <f t="shared" si="122"/>
        <v>0</v>
      </c>
      <c r="V330" s="586">
        <f t="shared" si="123"/>
        <v>-100</v>
      </c>
      <c r="W330" s="611" t="s">
        <v>2074</v>
      </c>
      <c r="X330" s="618">
        <f t="shared" si="116"/>
        <v>29520</v>
      </c>
      <c r="Y330" s="618"/>
      <c r="Z330" s="617">
        <v>0</v>
      </c>
      <c r="AA330" s="361">
        <f t="shared" si="124"/>
        <v>0</v>
      </c>
      <c r="AB330" s="597"/>
      <c r="AC330" s="485">
        <f t="shared" si="125"/>
        <v>0</v>
      </c>
      <c r="AD330" s="597"/>
      <c r="AE330" s="485">
        <f t="shared" si="126"/>
        <v>0</v>
      </c>
      <c r="AF330" s="508">
        <f t="shared" si="127"/>
        <v>0</v>
      </c>
      <c r="AG330" s="508">
        <f t="shared" si="128"/>
        <v>0</v>
      </c>
      <c r="AH330" s="508">
        <f t="shared" si="129"/>
        <v>0</v>
      </c>
      <c r="AI330" s="508">
        <f t="shared" si="130"/>
        <v>0</v>
      </c>
      <c r="AJ330" s="508">
        <f t="shared" si="131"/>
        <v>0</v>
      </c>
      <c r="AK330" s="508">
        <f t="shared" si="132"/>
        <v>0</v>
      </c>
      <c r="AM330" s="486">
        <f t="shared" si="133"/>
        <v>14.76</v>
      </c>
      <c r="AN330" s="117">
        <f t="shared" si="118"/>
        <v>-15</v>
      </c>
      <c r="AO330" s="487">
        <f t="shared" si="134"/>
        <v>6250</v>
      </c>
      <c r="AP330" s="610"/>
    </row>
    <row r="331" spans="1:42" ht="14.25" customHeight="1">
      <c r="A331" s="701">
        <v>325</v>
      </c>
      <c r="B331" s="477"/>
      <c r="C331" s="477" t="s">
        <v>1551</v>
      </c>
      <c r="D331" s="477" t="s">
        <v>1356</v>
      </c>
      <c r="E331" s="475" t="s">
        <v>1453</v>
      </c>
      <c r="F331" s="611" t="s">
        <v>2066</v>
      </c>
      <c r="G331" s="579" t="s">
        <v>1914</v>
      </c>
      <c r="H331" s="482">
        <v>1</v>
      </c>
      <c r="I331" s="580">
        <v>40544</v>
      </c>
      <c r="J331" s="580">
        <v>37681</v>
      </c>
      <c r="K331" s="581">
        <v>635281.56000000006</v>
      </c>
      <c r="L331" s="581">
        <v>66265.759999999995</v>
      </c>
      <c r="M331" s="582"/>
      <c r="N331" s="582"/>
      <c r="O331" s="582"/>
      <c r="P331" s="582">
        <f t="shared" si="119"/>
        <v>635281.56000000006</v>
      </c>
      <c r="Q331" s="582">
        <f t="shared" si="120"/>
        <v>66265.759999999995</v>
      </c>
      <c r="R331" s="583">
        <f t="shared" si="121"/>
        <v>38900</v>
      </c>
      <c r="S331" s="584"/>
      <c r="T331" s="584">
        <v>6</v>
      </c>
      <c r="U331" s="585">
        <f t="shared" si="122"/>
        <v>36566</v>
      </c>
      <c r="V331" s="586">
        <f t="shared" si="123"/>
        <v>-44.82</v>
      </c>
      <c r="W331" s="611" t="s">
        <v>2074</v>
      </c>
      <c r="X331" s="618">
        <f t="shared" si="116"/>
        <v>635281.56000000006</v>
      </c>
      <c r="Y331" s="618">
        <v>35</v>
      </c>
      <c r="Z331" s="617">
        <f t="shared" ref="Z331:Z342" si="135">Z$4*Y331</f>
        <v>45500</v>
      </c>
      <c r="AA331" s="361">
        <f t="shared" si="124"/>
        <v>38888.89</v>
      </c>
      <c r="AB331" s="597"/>
      <c r="AC331" s="485">
        <f t="shared" si="125"/>
        <v>0</v>
      </c>
      <c r="AD331" s="597"/>
      <c r="AE331" s="485">
        <f t="shared" si="126"/>
        <v>0</v>
      </c>
      <c r="AF331" s="508">
        <f t="shared" si="127"/>
        <v>0</v>
      </c>
      <c r="AG331" s="508">
        <f t="shared" si="128"/>
        <v>0</v>
      </c>
      <c r="AH331" s="508">
        <f t="shared" si="129"/>
        <v>45500</v>
      </c>
      <c r="AI331" s="508">
        <f t="shared" si="130"/>
        <v>0</v>
      </c>
      <c r="AJ331" s="508">
        <f t="shared" si="131"/>
        <v>6611.11</v>
      </c>
      <c r="AK331" s="508">
        <f t="shared" si="132"/>
        <v>38900</v>
      </c>
      <c r="AL331" s="116">
        <v>14</v>
      </c>
      <c r="AM331" s="486">
        <f t="shared" si="133"/>
        <v>14.76</v>
      </c>
      <c r="AN331" s="117">
        <f t="shared" si="118"/>
        <v>-1</v>
      </c>
      <c r="AO331" s="487">
        <f t="shared" si="134"/>
        <v>-7</v>
      </c>
      <c r="AP331" s="610"/>
    </row>
    <row r="332" spans="1:42" ht="14.25" customHeight="1">
      <c r="A332" s="701">
        <v>326</v>
      </c>
      <c r="B332" s="477"/>
      <c r="C332" s="477" t="s">
        <v>1551</v>
      </c>
      <c r="D332" s="477" t="s">
        <v>1356</v>
      </c>
      <c r="E332" s="475" t="s">
        <v>1453</v>
      </c>
      <c r="F332" s="611" t="s">
        <v>2066</v>
      </c>
      <c r="G332" s="579" t="s">
        <v>1914</v>
      </c>
      <c r="H332" s="482">
        <v>1</v>
      </c>
      <c r="I332" s="580">
        <v>40544</v>
      </c>
      <c r="J332" s="580">
        <v>37681</v>
      </c>
      <c r="K332" s="581">
        <v>635281.56000000006</v>
      </c>
      <c r="L332" s="581">
        <v>69956.17</v>
      </c>
      <c r="M332" s="582"/>
      <c r="N332" s="582"/>
      <c r="O332" s="582"/>
      <c r="P332" s="582">
        <f t="shared" si="119"/>
        <v>635281.56000000006</v>
      </c>
      <c r="Q332" s="582">
        <f t="shared" si="120"/>
        <v>69956.17</v>
      </c>
      <c r="R332" s="583">
        <f t="shared" si="121"/>
        <v>38900</v>
      </c>
      <c r="S332" s="584"/>
      <c r="T332" s="584">
        <v>6</v>
      </c>
      <c r="U332" s="585">
        <f t="shared" si="122"/>
        <v>36566</v>
      </c>
      <c r="V332" s="586">
        <f t="shared" si="123"/>
        <v>-47.73</v>
      </c>
      <c r="W332" s="611" t="s">
        <v>2074</v>
      </c>
      <c r="X332" s="618">
        <f t="shared" si="116"/>
        <v>635281.56000000006</v>
      </c>
      <c r="Y332" s="618">
        <v>35</v>
      </c>
      <c r="Z332" s="617">
        <f t="shared" si="135"/>
        <v>45500</v>
      </c>
      <c r="AA332" s="361">
        <f t="shared" si="124"/>
        <v>38888.89</v>
      </c>
      <c r="AB332" s="597"/>
      <c r="AC332" s="485">
        <f t="shared" si="125"/>
        <v>0</v>
      </c>
      <c r="AD332" s="597"/>
      <c r="AE332" s="485">
        <f t="shared" si="126"/>
        <v>0</v>
      </c>
      <c r="AF332" s="508">
        <f t="shared" si="127"/>
        <v>0</v>
      </c>
      <c r="AG332" s="508">
        <f t="shared" si="128"/>
        <v>0</v>
      </c>
      <c r="AH332" s="508">
        <f t="shared" si="129"/>
        <v>45500</v>
      </c>
      <c r="AI332" s="508">
        <f t="shared" si="130"/>
        <v>0</v>
      </c>
      <c r="AJ332" s="508">
        <f t="shared" si="131"/>
        <v>6611.11</v>
      </c>
      <c r="AK332" s="508">
        <f t="shared" si="132"/>
        <v>38900</v>
      </c>
      <c r="AL332" s="116">
        <v>14</v>
      </c>
      <c r="AM332" s="486">
        <f t="shared" si="133"/>
        <v>14.76</v>
      </c>
      <c r="AN332" s="117">
        <f t="shared" si="118"/>
        <v>-1</v>
      </c>
      <c r="AO332" s="487">
        <f t="shared" si="134"/>
        <v>-7</v>
      </c>
      <c r="AP332" s="610"/>
    </row>
    <row r="333" spans="1:42" ht="14.25" customHeight="1">
      <c r="A333" s="701">
        <v>327</v>
      </c>
      <c r="B333" s="477"/>
      <c r="C333" s="477" t="s">
        <v>1551</v>
      </c>
      <c r="D333" s="477" t="s">
        <v>1356</v>
      </c>
      <c r="E333" s="475" t="s">
        <v>1453</v>
      </c>
      <c r="F333" s="611" t="s">
        <v>2066</v>
      </c>
      <c r="G333" s="579" t="s">
        <v>1914</v>
      </c>
      <c r="H333" s="482">
        <v>1</v>
      </c>
      <c r="I333" s="580">
        <v>40544</v>
      </c>
      <c r="J333" s="580">
        <v>37681</v>
      </c>
      <c r="K333" s="581">
        <v>685881.56</v>
      </c>
      <c r="L333" s="581">
        <v>66265.759999999995</v>
      </c>
      <c r="M333" s="582"/>
      <c r="N333" s="582"/>
      <c r="O333" s="582"/>
      <c r="P333" s="582">
        <f t="shared" si="119"/>
        <v>685881.56</v>
      </c>
      <c r="Q333" s="582">
        <f t="shared" si="120"/>
        <v>66265.759999999995</v>
      </c>
      <c r="R333" s="583">
        <f t="shared" si="121"/>
        <v>38900</v>
      </c>
      <c r="S333" s="584"/>
      <c r="T333" s="584">
        <v>6</v>
      </c>
      <c r="U333" s="585">
        <f t="shared" si="122"/>
        <v>36566</v>
      </c>
      <c r="V333" s="586">
        <f t="shared" si="123"/>
        <v>-44.82</v>
      </c>
      <c r="W333" s="611" t="s">
        <v>2074</v>
      </c>
      <c r="X333" s="618">
        <f t="shared" si="116"/>
        <v>685881.56</v>
      </c>
      <c r="Y333" s="618">
        <v>35</v>
      </c>
      <c r="Z333" s="617">
        <f t="shared" si="135"/>
        <v>45500</v>
      </c>
      <c r="AA333" s="361">
        <f t="shared" si="124"/>
        <v>38888.89</v>
      </c>
      <c r="AB333" s="597"/>
      <c r="AC333" s="485">
        <f t="shared" si="125"/>
        <v>0</v>
      </c>
      <c r="AD333" s="597"/>
      <c r="AE333" s="485">
        <f t="shared" si="126"/>
        <v>0</v>
      </c>
      <c r="AF333" s="508">
        <f t="shared" si="127"/>
        <v>0</v>
      </c>
      <c r="AG333" s="508">
        <f t="shared" si="128"/>
        <v>0</v>
      </c>
      <c r="AH333" s="508">
        <f t="shared" si="129"/>
        <v>45500</v>
      </c>
      <c r="AI333" s="508">
        <f t="shared" si="130"/>
        <v>0</v>
      </c>
      <c r="AJ333" s="508">
        <f t="shared" si="131"/>
        <v>6611.11</v>
      </c>
      <c r="AK333" s="508">
        <f t="shared" si="132"/>
        <v>38900</v>
      </c>
      <c r="AL333" s="116">
        <v>14</v>
      </c>
      <c r="AM333" s="486">
        <f t="shared" si="133"/>
        <v>14.76</v>
      </c>
      <c r="AN333" s="117">
        <f t="shared" si="118"/>
        <v>-1</v>
      </c>
      <c r="AO333" s="487">
        <f t="shared" si="134"/>
        <v>-7</v>
      </c>
      <c r="AP333" s="610"/>
    </row>
    <row r="334" spans="1:42" ht="14.25" customHeight="1">
      <c r="A334" s="701">
        <v>328</v>
      </c>
      <c r="B334" s="477"/>
      <c r="C334" s="477" t="s">
        <v>1551</v>
      </c>
      <c r="D334" s="477" t="s">
        <v>1356</v>
      </c>
      <c r="E334" s="475" t="s">
        <v>1453</v>
      </c>
      <c r="F334" s="611" t="s">
        <v>2066</v>
      </c>
      <c r="G334" s="579" t="s">
        <v>1914</v>
      </c>
      <c r="H334" s="482">
        <v>1</v>
      </c>
      <c r="I334" s="580">
        <v>40544</v>
      </c>
      <c r="J334" s="580">
        <v>37681</v>
      </c>
      <c r="K334" s="581">
        <v>635281.56000000006</v>
      </c>
      <c r="L334" s="581">
        <v>66265.759999999995</v>
      </c>
      <c r="M334" s="582"/>
      <c r="N334" s="582"/>
      <c r="O334" s="582"/>
      <c r="P334" s="582">
        <f t="shared" si="119"/>
        <v>635281.56000000006</v>
      </c>
      <c r="Q334" s="582">
        <f t="shared" si="120"/>
        <v>66265.759999999995</v>
      </c>
      <c r="R334" s="583">
        <f t="shared" si="121"/>
        <v>38900</v>
      </c>
      <c r="S334" s="584"/>
      <c r="T334" s="584">
        <v>6</v>
      </c>
      <c r="U334" s="585">
        <f t="shared" si="122"/>
        <v>36566</v>
      </c>
      <c r="V334" s="586">
        <f t="shared" si="123"/>
        <v>-44.82</v>
      </c>
      <c r="W334" s="611" t="s">
        <v>2074</v>
      </c>
      <c r="X334" s="618">
        <f t="shared" si="116"/>
        <v>635281.56000000006</v>
      </c>
      <c r="Y334" s="618">
        <v>35</v>
      </c>
      <c r="Z334" s="617">
        <f t="shared" si="135"/>
        <v>45500</v>
      </c>
      <c r="AA334" s="361">
        <f t="shared" si="124"/>
        <v>38888.89</v>
      </c>
      <c r="AB334" s="597"/>
      <c r="AC334" s="485">
        <f t="shared" si="125"/>
        <v>0</v>
      </c>
      <c r="AD334" s="597"/>
      <c r="AE334" s="485">
        <f t="shared" si="126"/>
        <v>0</v>
      </c>
      <c r="AF334" s="508">
        <f t="shared" si="127"/>
        <v>0</v>
      </c>
      <c r="AG334" s="508">
        <f t="shared" si="128"/>
        <v>0</v>
      </c>
      <c r="AH334" s="508">
        <f t="shared" si="129"/>
        <v>45500</v>
      </c>
      <c r="AI334" s="508">
        <f t="shared" si="130"/>
        <v>0</v>
      </c>
      <c r="AJ334" s="508">
        <f t="shared" si="131"/>
        <v>6611.11</v>
      </c>
      <c r="AK334" s="508">
        <f t="shared" si="132"/>
        <v>38900</v>
      </c>
      <c r="AL334" s="116">
        <v>14</v>
      </c>
      <c r="AM334" s="486">
        <f t="shared" si="133"/>
        <v>14.76</v>
      </c>
      <c r="AN334" s="117">
        <f t="shared" si="118"/>
        <v>-1</v>
      </c>
      <c r="AO334" s="487">
        <f t="shared" si="134"/>
        <v>-7</v>
      </c>
      <c r="AP334" s="610"/>
    </row>
    <row r="335" spans="1:42" ht="14.25" customHeight="1">
      <c r="A335" s="701">
        <v>329</v>
      </c>
      <c r="B335" s="477"/>
      <c r="C335" s="477" t="s">
        <v>1551</v>
      </c>
      <c r="D335" s="477" t="s">
        <v>1356</v>
      </c>
      <c r="E335" s="475" t="s">
        <v>1453</v>
      </c>
      <c r="F335" s="611" t="s">
        <v>2066</v>
      </c>
      <c r="G335" s="579" t="s">
        <v>1914</v>
      </c>
      <c r="H335" s="482">
        <v>1</v>
      </c>
      <c r="I335" s="580">
        <v>40544</v>
      </c>
      <c r="J335" s="580">
        <v>37681</v>
      </c>
      <c r="K335" s="581">
        <v>635281.56999999995</v>
      </c>
      <c r="L335" s="581">
        <v>66265.759999999995</v>
      </c>
      <c r="M335" s="582"/>
      <c r="N335" s="582"/>
      <c r="O335" s="582"/>
      <c r="P335" s="582">
        <f t="shared" si="119"/>
        <v>635281.56999999995</v>
      </c>
      <c r="Q335" s="582">
        <f t="shared" si="120"/>
        <v>66265.759999999995</v>
      </c>
      <c r="R335" s="583">
        <f t="shared" si="121"/>
        <v>38900</v>
      </c>
      <c r="S335" s="584"/>
      <c r="T335" s="584">
        <v>6</v>
      </c>
      <c r="U335" s="585">
        <f t="shared" si="122"/>
        <v>36566</v>
      </c>
      <c r="V335" s="586">
        <f t="shared" si="123"/>
        <v>-44.82</v>
      </c>
      <c r="W335" s="611" t="s">
        <v>2074</v>
      </c>
      <c r="X335" s="618">
        <f t="shared" si="116"/>
        <v>635281.56999999995</v>
      </c>
      <c r="Y335" s="618">
        <v>35</v>
      </c>
      <c r="Z335" s="617">
        <f t="shared" si="135"/>
        <v>45500</v>
      </c>
      <c r="AA335" s="361">
        <f t="shared" si="124"/>
        <v>38888.89</v>
      </c>
      <c r="AB335" s="597"/>
      <c r="AC335" s="485">
        <f t="shared" si="125"/>
        <v>0</v>
      </c>
      <c r="AD335" s="597"/>
      <c r="AE335" s="485">
        <f t="shared" si="126"/>
        <v>0</v>
      </c>
      <c r="AF335" s="508">
        <f t="shared" si="127"/>
        <v>0</v>
      </c>
      <c r="AG335" s="508">
        <f t="shared" si="128"/>
        <v>0</v>
      </c>
      <c r="AH335" s="508">
        <f t="shared" si="129"/>
        <v>45500</v>
      </c>
      <c r="AI335" s="508">
        <f t="shared" si="130"/>
        <v>0</v>
      </c>
      <c r="AJ335" s="508">
        <f t="shared" si="131"/>
        <v>6611.11</v>
      </c>
      <c r="AK335" s="508">
        <f t="shared" si="132"/>
        <v>38900</v>
      </c>
      <c r="AL335" s="116">
        <v>14</v>
      </c>
      <c r="AM335" s="486">
        <f t="shared" si="133"/>
        <v>14.76</v>
      </c>
      <c r="AN335" s="117">
        <f t="shared" si="118"/>
        <v>-1</v>
      </c>
      <c r="AO335" s="487">
        <f t="shared" si="134"/>
        <v>-7</v>
      </c>
      <c r="AP335" s="610"/>
    </row>
    <row r="336" spans="1:42" ht="14.25" customHeight="1">
      <c r="A336" s="701">
        <v>330</v>
      </c>
      <c r="B336" s="477"/>
      <c r="C336" s="477" t="s">
        <v>1551</v>
      </c>
      <c r="D336" s="477" t="s">
        <v>1356</v>
      </c>
      <c r="E336" s="475" t="s">
        <v>1453</v>
      </c>
      <c r="F336" s="611" t="s">
        <v>2066</v>
      </c>
      <c r="G336" s="579" t="s">
        <v>1914</v>
      </c>
      <c r="H336" s="482">
        <v>1</v>
      </c>
      <c r="I336" s="580">
        <v>40544</v>
      </c>
      <c r="J336" s="580">
        <v>37681</v>
      </c>
      <c r="K336" s="581">
        <v>635281.56999999995</v>
      </c>
      <c r="L336" s="581">
        <v>66265.759999999995</v>
      </c>
      <c r="M336" s="582"/>
      <c r="N336" s="582"/>
      <c r="O336" s="582"/>
      <c r="P336" s="582">
        <f t="shared" si="119"/>
        <v>635281.56999999995</v>
      </c>
      <c r="Q336" s="582">
        <f t="shared" si="120"/>
        <v>66265.759999999995</v>
      </c>
      <c r="R336" s="583">
        <f t="shared" si="121"/>
        <v>38900</v>
      </c>
      <c r="S336" s="584"/>
      <c r="T336" s="584">
        <v>6</v>
      </c>
      <c r="U336" s="585">
        <f t="shared" si="122"/>
        <v>36566</v>
      </c>
      <c r="V336" s="586">
        <f t="shared" si="123"/>
        <v>-44.82</v>
      </c>
      <c r="W336" s="611" t="s">
        <v>2074</v>
      </c>
      <c r="X336" s="618">
        <f t="shared" si="116"/>
        <v>635281.56999999995</v>
      </c>
      <c r="Y336" s="618">
        <v>35</v>
      </c>
      <c r="Z336" s="617">
        <f t="shared" si="135"/>
        <v>45500</v>
      </c>
      <c r="AA336" s="361">
        <f t="shared" si="124"/>
        <v>38888.89</v>
      </c>
      <c r="AB336" s="597"/>
      <c r="AC336" s="485">
        <f t="shared" si="125"/>
        <v>0</v>
      </c>
      <c r="AD336" s="597"/>
      <c r="AE336" s="485">
        <f t="shared" si="126"/>
        <v>0</v>
      </c>
      <c r="AF336" s="508">
        <f t="shared" si="127"/>
        <v>0</v>
      </c>
      <c r="AG336" s="508">
        <f t="shared" si="128"/>
        <v>0</v>
      </c>
      <c r="AH336" s="508">
        <f t="shared" si="129"/>
        <v>45500</v>
      </c>
      <c r="AI336" s="508">
        <f t="shared" si="130"/>
        <v>0</v>
      </c>
      <c r="AJ336" s="508">
        <f t="shared" si="131"/>
        <v>6611.11</v>
      </c>
      <c r="AK336" s="508">
        <f t="shared" si="132"/>
        <v>38900</v>
      </c>
      <c r="AL336" s="116">
        <v>14</v>
      </c>
      <c r="AM336" s="486">
        <f t="shared" si="133"/>
        <v>14.76</v>
      </c>
      <c r="AN336" s="117">
        <f t="shared" si="118"/>
        <v>-1</v>
      </c>
      <c r="AO336" s="487">
        <f t="shared" si="134"/>
        <v>-7</v>
      </c>
      <c r="AP336" s="610"/>
    </row>
    <row r="337" spans="1:44" ht="14.25" customHeight="1">
      <c r="A337" s="701">
        <v>331</v>
      </c>
      <c r="B337" s="477"/>
      <c r="C337" s="477" t="s">
        <v>1551</v>
      </c>
      <c r="D337" s="477" t="s">
        <v>1356</v>
      </c>
      <c r="E337" s="475" t="s">
        <v>1453</v>
      </c>
      <c r="F337" s="611" t="s">
        <v>2066</v>
      </c>
      <c r="G337" s="579" t="s">
        <v>1914</v>
      </c>
      <c r="H337" s="482">
        <v>1</v>
      </c>
      <c r="I337" s="580">
        <v>40544</v>
      </c>
      <c r="J337" s="580">
        <v>37681</v>
      </c>
      <c r="K337" s="581">
        <v>635281.56999999995</v>
      </c>
      <c r="L337" s="581">
        <v>71324.27</v>
      </c>
      <c r="M337" s="582"/>
      <c r="N337" s="582"/>
      <c r="O337" s="582"/>
      <c r="P337" s="582">
        <f t="shared" si="119"/>
        <v>635281.56999999995</v>
      </c>
      <c r="Q337" s="582">
        <f t="shared" si="120"/>
        <v>71324.27</v>
      </c>
      <c r="R337" s="583">
        <f t="shared" si="121"/>
        <v>38900</v>
      </c>
      <c r="S337" s="584"/>
      <c r="T337" s="584">
        <v>6</v>
      </c>
      <c r="U337" s="585">
        <f t="shared" si="122"/>
        <v>36566</v>
      </c>
      <c r="V337" s="586">
        <f t="shared" si="123"/>
        <v>-48.73</v>
      </c>
      <c r="W337" s="611" t="s">
        <v>2074</v>
      </c>
      <c r="X337" s="618">
        <f t="shared" ref="X337:X368" si="136">P337/H337</f>
        <v>635281.56999999995</v>
      </c>
      <c r="Y337" s="618">
        <v>35</v>
      </c>
      <c r="Z337" s="617">
        <f t="shared" si="135"/>
        <v>45500</v>
      </c>
      <c r="AA337" s="361">
        <f t="shared" si="124"/>
        <v>38888.89</v>
      </c>
      <c r="AB337" s="597"/>
      <c r="AC337" s="485">
        <f t="shared" si="125"/>
        <v>0</v>
      </c>
      <c r="AD337" s="597"/>
      <c r="AE337" s="485">
        <f t="shared" si="126"/>
        <v>0</v>
      </c>
      <c r="AF337" s="508">
        <f t="shared" si="127"/>
        <v>0</v>
      </c>
      <c r="AG337" s="508">
        <f t="shared" si="128"/>
        <v>0</v>
      </c>
      <c r="AH337" s="508">
        <f t="shared" si="129"/>
        <v>45500</v>
      </c>
      <c r="AI337" s="508">
        <f t="shared" si="130"/>
        <v>0</v>
      </c>
      <c r="AJ337" s="508">
        <f t="shared" si="131"/>
        <v>6611.11</v>
      </c>
      <c r="AK337" s="508">
        <f t="shared" si="132"/>
        <v>38900</v>
      </c>
      <c r="AL337" s="116">
        <v>14</v>
      </c>
      <c r="AM337" s="486">
        <f t="shared" si="133"/>
        <v>14.76</v>
      </c>
      <c r="AN337" s="117">
        <f t="shared" si="118"/>
        <v>-1</v>
      </c>
      <c r="AO337" s="487">
        <f t="shared" si="134"/>
        <v>-7</v>
      </c>
      <c r="AP337" s="610"/>
    </row>
    <row r="338" spans="1:44" ht="14.25" customHeight="1">
      <c r="A338" s="701">
        <v>332</v>
      </c>
      <c r="B338" s="477"/>
      <c r="C338" s="477" t="s">
        <v>1551</v>
      </c>
      <c r="D338" s="477" t="s">
        <v>1356</v>
      </c>
      <c r="E338" s="475" t="s">
        <v>1453</v>
      </c>
      <c r="F338" s="611" t="s">
        <v>2066</v>
      </c>
      <c r="G338" s="579" t="s">
        <v>1914</v>
      </c>
      <c r="H338" s="482">
        <v>1</v>
      </c>
      <c r="I338" s="580">
        <v>40544</v>
      </c>
      <c r="J338" s="580">
        <v>37681</v>
      </c>
      <c r="K338" s="625">
        <v>704638.57</v>
      </c>
      <c r="L338" s="581">
        <v>64136.9</v>
      </c>
      <c r="M338" s="582"/>
      <c r="N338" s="582"/>
      <c r="O338" s="582"/>
      <c r="P338" s="582">
        <f t="shared" si="119"/>
        <v>704638.57</v>
      </c>
      <c r="Q338" s="582">
        <f t="shared" si="120"/>
        <v>64136.9</v>
      </c>
      <c r="R338" s="583">
        <f t="shared" si="121"/>
        <v>38900</v>
      </c>
      <c r="S338" s="584"/>
      <c r="T338" s="584">
        <v>6</v>
      </c>
      <c r="U338" s="585">
        <f t="shared" si="122"/>
        <v>36566</v>
      </c>
      <c r="V338" s="586">
        <f t="shared" si="123"/>
        <v>-42.99</v>
      </c>
      <c r="W338" s="611" t="s">
        <v>2074</v>
      </c>
      <c r="X338" s="618">
        <f t="shared" si="136"/>
        <v>704638.57</v>
      </c>
      <c r="Y338" s="618">
        <v>35</v>
      </c>
      <c r="Z338" s="617">
        <f t="shared" si="135"/>
        <v>45500</v>
      </c>
      <c r="AA338" s="361">
        <f t="shared" si="124"/>
        <v>38888.89</v>
      </c>
      <c r="AB338" s="597"/>
      <c r="AC338" s="485">
        <f t="shared" si="125"/>
        <v>0</v>
      </c>
      <c r="AD338" s="597"/>
      <c r="AE338" s="485">
        <f t="shared" si="126"/>
        <v>0</v>
      </c>
      <c r="AF338" s="508">
        <f t="shared" si="127"/>
        <v>0</v>
      </c>
      <c r="AG338" s="508">
        <f t="shared" si="128"/>
        <v>0</v>
      </c>
      <c r="AH338" s="508">
        <f t="shared" si="129"/>
        <v>45500</v>
      </c>
      <c r="AI338" s="508">
        <f t="shared" si="130"/>
        <v>0</v>
      </c>
      <c r="AJ338" s="508">
        <f t="shared" si="131"/>
        <v>6611.11</v>
      </c>
      <c r="AK338" s="508">
        <f t="shared" si="132"/>
        <v>38900</v>
      </c>
      <c r="AL338" s="116">
        <v>14</v>
      </c>
      <c r="AM338" s="486">
        <f t="shared" si="133"/>
        <v>14.76</v>
      </c>
      <c r="AN338" s="117">
        <f t="shared" si="118"/>
        <v>-1</v>
      </c>
      <c r="AO338" s="487">
        <f t="shared" si="134"/>
        <v>-7</v>
      </c>
      <c r="AP338" s="610"/>
    </row>
    <row r="339" spans="1:44" ht="14.25" customHeight="1">
      <c r="A339" s="701">
        <v>333</v>
      </c>
      <c r="B339" s="477"/>
      <c r="C339" s="477" t="s">
        <v>1661</v>
      </c>
      <c r="D339" s="477" t="s">
        <v>1357</v>
      </c>
      <c r="E339" s="475" t="s">
        <v>1453</v>
      </c>
      <c r="F339" s="611" t="s">
        <v>2066</v>
      </c>
      <c r="G339" s="579" t="s">
        <v>1914</v>
      </c>
      <c r="H339" s="482">
        <v>1</v>
      </c>
      <c r="I339" s="580">
        <v>40544</v>
      </c>
      <c r="J339" s="580">
        <v>37681</v>
      </c>
      <c r="K339" s="581">
        <v>580552.86</v>
      </c>
      <c r="L339" s="581">
        <v>49619.9</v>
      </c>
      <c r="M339" s="582"/>
      <c r="N339" s="582"/>
      <c r="O339" s="582"/>
      <c r="P339" s="582">
        <f t="shared" si="119"/>
        <v>580552.86</v>
      </c>
      <c r="Q339" s="582">
        <f t="shared" si="120"/>
        <v>49619.9</v>
      </c>
      <c r="R339" s="583">
        <f t="shared" si="121"/>
        <v>16700</v>
      </c>
      <c r="S339" s="584"/>
      <c r="T339" s="584">
        <v>6</v>
      </c>
      <c r="U339" s="585">
        <f t="shared" si="122"/>
        <v>15698</v>
      </c>
      <c r="V339" s="586">
        <f t="shared" si="123"/>
        <v>-68.36</v>
      </c>
      <c r="W339" s="611" t="s">
        <v>2074</v>
      </c>
      <c r="X339" s="618">
        <f t="shared" si="136"/>
        <v>580552.86</v>
      </c>
      <c r="Y339" s="618">
        <v>15</v>
      </c>
      <c r="Z339" s="617">
        <f t="shared" si="135"/>
        <v>19500</v>
      </c>
      <c r="AA339" s="361">
        <f t="shared" si="124"/>
        <v>16666.669999999998</v>
      </c>
      <c r="AB339" s="597"/>
      <c r="AC339" s="485">
        <f t="shared" si="125"/>
        <v>0</v>
      </c>
      <c r="AD339" s="597"/>
      <c r="AE339" s="485">
        <f t="shared" si="126"/>
        <v>0</v>
      </c>
      <c r="AF339" s="508">
        <f t="shared" si="127"/>
        <v>0</v>
      </c>
      <c r="AG339" s="508">
        <f t="shared" si="128"/>
        <v>0</v>
      </c>
      <c r="AH339" s="508">
        <f t="shared" si="129"/>
        <v>19500</v>
      </c>
      <c r="AI339" s="508">
        <f t="shared" si="130"/>
        <v>0</v>
      </c>
      <c r="AJ339" s="508">
        <f t="shared" si="131"/>
        <v>2833.33</v>
      </c>
      <c r="AK339" s="508">
        <f t="shared" si="132"/>
        <v>16700</v>
      </c>
      <c r="AM339" s="486">
        <f t="shared" si="133"/>
        <v>14.76</v>
      </c>
      <c r="AN339" s="117">
        <f t="shared" si="118"/>
        <v>-15</v>
      </c>
      <c r="AO339" s="487">
        <f t="shared" si="134"/>
        <v>6250</v>
      </c>
      <c r="AP339" s="610"/>
    </row>
    <row r="340" spans="1:44" s="694" customFormat="1" ht="14.25" customHeight="1">
      <c r="A340" s="701">
        <v>334</v>
      </c>
      <c r="B340" s="477"/>
      <c r="C340" s="477" t="s">
        <v>1661</v>
      </c>
      <c r="D340" s="477" t="s">
        <v>1357</v>
      </c>
      <c r="E340" s="475" t="s">
        <v>1453</v>
      </c>
      <c r="F340" s="611" t="s">
        <v>2066</v>
      </c>
      <c r="G340" s="579" t="s">
        <v>1914</v>
      </c>
      <c r="H340" s="482">
        <v>1</v>
      </c>
      <c r="I340" s="580">
        <v>40544</v>
      </c>
      <c r="J340" s="580">
        <v>37681</v>
      </c>
      <c r="K340" s="581">
        <v>580552.86</v>
      </c>
      <c r="L340" s="581">
        <v>49619.9</v>
      </c>
      <c r="M340" s="582"/>
      <c r="N340" s="582"/>
      <c r="O340" s="582"/>
      <c r="P340" s="582">
        <f t="shared" si="119"/>
        <v>580552.86</v>
      </c>
      <c r="Q340" s="582">
        <f t="shared" si="120"/>
        <v>49619.9</v>
      </c>
      <c r="R340" s="583">
        <f t="shared" si="121"/>
        <v>16700</v>
      </c>
      <c r="S340" s="584"/>
      <c r="T340" s="584">
        <v>6</v>
      </c>
      <c r="U340" s="585">
        <f t="shared" si="122"/>
        <v>15698</v>
      </c>
      <c r="V340" s="586">
        <f t="shared" si="123"/>
        <v>-68.36</v>
      </c>
      <c r="W340" s="611" t="s">
        <v>2074</v>
      </c>
      <c r="X340" s="618">
        <f t="shared" si="136"/>
        <v>580552.86</v>
      </c>
      <c r="Y340" s="618">
        <v>15</v>
      </c>
      <c r="Z340" s="617">
        <f t="shared" si="135"/>
        <v>19500</v>
      </c>
      <c r="AA340" s="361">
        <f t="shared" si="124"/>
        <v>16666.669999999998</v>
      </c>
      <c r="AB340" s="597"/>
      <c r="AC340" s="485">
        <f t="shared" si="125"/>
        <v>0</v>
      </c>
      <c r="AD340" s="597"/>
      <c r="AE340" s="485">
        <f t="shared" si="126"/>
        <v>0</v>
      </c>
      <c r="AF340" s="508">
        <f t="shared" si="127"/>
        <v>0</v>
      </c>
      <c r="AG340" s="508">
        <f t="shared" si="128"/>
        <v>0</v>
      </c>
      <c r="AH340" s="508">
        <f t="shared" si="129"/>
        <v>19500</v>
      </c>
      <c r="AI340" s="508">
        <f t="shared" si="130"/>
        <v>0</v>
      </c>
      <c r="AJ340" s="508">
        <f t="shared" si="131"/>
        <v>2833.33</v>
      </c>
      <c r="AK340" s="508">
        <f t="shared" si="132"/>
        <v>16700</v>
      </c>
      <c r="AL340" s="116"/>
      <c r="AM340" s="486">
        <f t="shared" si="133"/>
        <v>14.76</v>
      </c>
      <c r="AN340" s="117">
        <f t="shared" si="118"/>
        <v>-15</v>
      </c>
      <c r="AO340" s="487">
        <f t="shared" si="134"/>
        <v>6250</v>
      </c>
      <c r="AP340" s="610"/>
      <c r="AQ340" s="4"/>
      <c r="AR340" s="4"/>
    </row>
    <row r="341" spans="1:44" ht="14.25" customHeight="1">
      <c r="A341" s="701">
        <v>335</v>
      </c>
      <c r="B341" s="477"/>
      <c r="C341" s="477" t="s">
        <v>1661</v>
      </c>
      <c r="D341" s="477" t="s">
        <v>1357</v>
      </c>
      <c r="E341" s="475" t="s">
        <v>1453</v>
      </c>
      <c r="F341" s="611" t="s">
        <v>2066</v>
      </c>
      <c r="G341" s="579" t="s">
        <v>1914</v>
      </c>
      <c r="H341" s="482">
        <v>1</v>
      </c>
      <c r="I341" s="580">
        <v>40544</v>
      </c>
      <c r="J341" s="580">
        <v>37681</v>
      </c>
      <c r="K341" s="581">
        <v>580552.86</v>
      </c>
      <c r="L341" s="581">
        <v>51797.59</v>
      </c>
      <c r="M341" s="582"/>
      <c r="N341" s="582"/>
      <c r="O341" s="582"/>
      <c r="P341" s="582">
        <f t="shared" si="119"/>
        <v>580552.86</v>
      </c>
      <c r="Q341" s="582">
        <f t="shared" si="120"/>
        <v>51797.59</v>
      </c>
      <c r="R341" s="583">
        <f t="shared" si="121"/>
        <v>16700</v>
      </c>
      <c r="S341" s="584"/>
      <c r="T341" s="584">
        <v>6</v>
      </c>
      <c r="U341" s="585">
        <f t="shared" si="122"/>
        <v>15698</v>
      </c>
      <c r="V341" s="586">
        <f t="shared" si="123"/>
        <v>-69.69</v>
      </c>
      <c r="W341" s="611" t="s">
        <v>2074</v>
      </c>
      <c r="X341" s="618">
        <f t="shared" si="136"/>
        <v>580552.86</v>
      </c>
      <c r="Y341" s="618">
        <v>15</v>
      </c>
      <c r="Z341" s="617">
        <f t="shared" si="135"/>
        <v>19500</v>
      </c>
      <c r="AA341" s="361">
        <f t="shared" si="124"/>
        <v>16666.669999999998</v>
      </c>
      <c r="AB341" s="597"/>
      <c r="AC341" s="485">
        <f t="shared" si="125"/>
        <v>0</v>
      </c>
      <c r="AD341" s="597"/>
      <c r="AE341" s="485">
        <f t="shared" si="126"/>
        <v>0</v>
      </c>
      <c r="AF341" s="508">
        <f t="shared" si="127"/>
        <v>0</v>
      </c>
      <c r="AG341" s="508">
        <f t="shared" si="128"/>
        <v>0</v>
      </c>
      <c r="AH341" s="508">
        <f t="shared" si="129"/>
        <v>19500</v>
      </c>
      <c r="AI341" s="508">
        <f t="shared" si="130"/>
        <v>0</v>
      </c>
      <c r="AJ341" s="508">
        <f t="shared" si="131"/>
        <v>2833.33</v>
      </c>
      <c r="AK341" s="508">
        <f t="shared" si="132"/>
        <v>16700</v>
      </c>
      <c r="AM341" s="486">
        <f t="shared" si="133"/>
        <v>14.76</v>
      </c>
      <c r="AN341" s="117">
        <f t="shared" si="118"/>
        <v>-15</v>
      </c>
      <c r="AO341" s="487">
        <f t="shared" si="134"/>
        <v>6250</v>
      </c>
      <c r="AP341" s="610"/>
    </row>
    <row r="342" spans="1:44" ht="14.25" customHeight="1">
      <c r="A342" s="701">
        <v>336</v>
      </c>
      <c r="B342" s="477"/>
      <c r="C342" s="477" t="s">
        <v>1661</v>
      </c>
      <c r="D342" s="477" t="s">
        <v>1357</v>
      </c>
      <c r="E342" s="475" t="s">
        <v>1453</v>
      </c>
      <c r="F342" s="611" t="s">
        <v>2066</v>
      </c>
      <c r="G342" s="579" t="s">
        <v>1914</v>
      </c>
      <c r="H342" s="482">
        <v>1</v>
      </c>
      <c r="I342" s="580">
        <v>40544</v>
      </c>
      <c r="J342" s="580">
        <v>37681</v>
      </c>
      <c r="K342" s="581">
        <v>606031.86</v>
      </c>
      <c r="L342" s="581">
        <v>13098.72</v>
      </c>
      <c r="M342" s="582"/>
      <c r="N342" s="582"/>
      <c r="O342" s="582"/>
      <c r="P342" s="582">
        <f t="shared" si="119"/>
        <v>606031.86</v>
      </c>
      <c r="Q342" s="582">
        <f t="shared" si="120"/>
        <v>13098.72</v>
      </c>
      <c r="R342" s="583">
        <f t="shared" si="121"/>
        <v>16700</v>
      </c>
      <c r="S342" s="584"/>
      <c r="T342" s="584">
        <v>6</v>
      </c>
      <c r="U342" s="585">
        <f t="shared" si="122"/>
        <v>15698</v>
      </c>
      <c r="V342" s="586">
        <f t="shared" si="123"/>
        <v>19.84</v>
      </c>
      <c r="W342" s="611" t="s">
        <v>2074</v>
      </c>
      <c r="X342" s="618">
        <f t="shared" si="136"/>
        <v>606031.86</v>
      </c>
      <c r="Y342" s="618">
        <v>15</v>
      </c>
      <c r="Z342" s="617">
        <f t="shared" si="135"/>
        <v>19500</v>
      </c>
      <c r="AA342" s="361">
        <f t="shared" si="124"/>
        <v>16666.669999999998</v>
      </c>
      <c r="AB342" s="597"/>
      <c r="AC342" s="485">
        <f t="shared" si="125"/>
        <v>0</v>
      </c>
      <c r="AD342" s="597"/>
      <c r="AE342" s="485">
        <f t="shared" si="126"/>
        <v>0</v>
      </c>
      <c r="AF342" s="508">
        <f t="shared" si="127"/>
        <v>0</v>
      </c>
      <c r="AG342" s="508">
        <f t="shared" si="128"/>
        <v>0</v>
      </c>
      <c r="AH342" s="508">
        <f t="shared" si="129"/>
        <v>19500</v>
      </c>
      <c r="AI342" s="508">
        <f t="shared" si="130"/>
        <v>0</v>
      </c>
      <c r="AJ342" s="508">
        <f t="shared" si="131"/>
        <v>2833.33</v>
      </c>
      <c r="AK342" s="508">
        <f t="shared" si="132"/>
        <v>16700</v>
      </c>
      <c r="AM342" s="486">
        <f t="shared" si="133"/>
        <v>14.76</v>
      </c>
      <c r="AN342" s="117">
        <f t="shared" si="118"/>
        <v>-15</v>
      </c>
      <c r="AO342" s="487">
        <f t="shared" si="134"/>
        <v>6250</v>
      </c>
      <c r="AP342" s="610"/>
    </row>
    <row r="343" spans="1:44" ht="14.25" customHeight="1">
      <c r="A343" s="701">
        <v>337</v>
      </c>
      <c r="B343" s="477"/>
      <c r="C343" s="477" t="s">
        <v>1481</v>
      </c>
      <c r="D343" s="477" t="s">
        <v>1358</v>
      </c>
      <c r="E343" s="475" t="s">
        <v>1453</v>
      </c>
      <c r="F343" s="611" t="s">
        <v>2023</v>
      </c>
      <c r="G343" s="482" t="s">
        <v>1943</v>
      </c>
      <c r="H343" s="482">
        <v>1</v>
      </c>
      <c r="I343" s="580">
        <v>40544</v>
      </c>
      <c r="J343" s="580">
        <v>37681</v>
      </c>
      <c r="K343" s="581">
        <v>153255</v>
      </c>
      <c r="L343" s="581">
        <v>1583.33</v>
      </c>
      <c r="M343" s="582"/>
      <c r="N343" s="582"/>
      <c r="O343" s="582"/>
      <c r="P343" s="582">
        <f t="shared" si="119"/>
        <v>153255</v>
      </c>
      <c r="Q343" s="582">
        <f t="shared" si="120"/>
        <v>1583.33</v>
      </c>
      <c r="R343" s="583">
        <f t="shared" si="121"/>
        <v>157300</v>
      </c>
      <c r="S343" s="668">
        <f>AP343</f>
        <v>10</v>
      </c>
      <c r="T343" s="584">
        <v>5</v>
      </c>
      <c r="U343" s="585">
        <f>IF(S343="",R343,ROUND(R343*(S343-T343)/100,0))</f>
        <v>7865</v>
      </c>
      <c r="V343" s="586">
        <f t="shared" si="123"/>
        <v>396.74</v>
      </c>
      <c r="W343" s="477"/>
      <c r="X343" s="618">
        <f t="shared" si="136"/>
        <v>153255</v>
      </c>
      <c r="Y343" s="618"/>
      <c r="Z343" s="489">
        <v>184000</v>
      </c>
      <c r="AA343" s="361">
        <f t="shared" si="124"/>
        <v>157264.95999999999</v>
      </c>
      <c r="AB343" s="597"/>
      <c r="AC343" s="485">
        <f t="shared" si="125"/>
        <v>0</v>
      </c>
      <c r="AD343" s="597"/>
      <c r="AE343" s="485">
        <f t="shared" si="126"/>
        <v>0</v>
      </c>
      <c r="AF343" s="508">
        <f t="shared" si="127"/>
        <v>0</v>
      </c>
      <c r="AG343" s="508">
        <f t="shared" si="128"/>
        <v>0</v>
      </c>
      <c r="AH343" s="508">
        <f t="shared" si="129"/>
        <v>184000</v>
      </c>
      <c r="AI343" s="508">
        <f t="shared" si="130"/>
        <v>0</v>
      </c>
      <c r="AJ343" s="508">
        <f t="shared" si="131"/>
        <v>26735.040000000001</v>
      </c>
      <c r="AK343" s="508">
        <f t="shared" si="132"/>
        <v>157300</v>
      </c>
      <c r="AL343" s="116">
        <v>12</v>
      </c>
      <c r="AM343" s="486">
        <f t="shared" si="133"/>
        <v>14.76</v>
      </c>
      <c r="AN343" s="632">
        <v>2</v>
      </c>
      <c r="AO343" s="487">
        <f t="shared" si="134"/>
        <v>12</v>
      </c>
      <c r="AP343" s="669">
        <v>10</v>
      </c>
    </row>
    <row r="344" spans="1:44" ht="14.25" customHeight="1">
      <c r="A344" s="701">
        <v>338</v>
      </c>
      <c r="B344" s="477"/>
      <c r="C344" s="477" t="s">
        <v>1706</v>
      </c>
      <c r="D344" s="477" t="s">
        <v>1359</v>
      </c>
      <c r="E344" s="475" t="s">
        <v>1453</v>
      </c>
      <c r="F344" s="477"/>
      <c r="G344" s="482" t="s">
        <v>1943</v>
      </c>
      <c r="H344" s="482">
        <v>1</v>
      </c>
      <c r="I344" s="580">
        <v>40544</v>
      </c>
      <c r="J344" s="580">
        <v>37681</v>
      </c>
      <c r="K344" s="581">
        <v>18525</v>
      </c>
      <c r="L344" s="581">
        <v>2673.5</v>
      </c>
      <c r="M344" s="582"/>
      <c r="N344" s="582"/>
      <c r="O344" s="582"/>
      <c r="P344" s="582">
        <f t="shared" si="119"/>
        <v>18525</v>
      </c>
      <c r="Q344" s="582">
        <f t="shared" si="120"/>
        <v>2673.5</v>
      </c>
      <c r="R344" s="583">
        <f t="shared" si="121"/>
        <v>0</v>
      </c>
      <c r="S344" s="584"/>
      <c r="T344" s="584"/>
      <c r="U344" s="585">
        <f>ROUND(R344*(1-T344/100),0)</f>
        <v>0</v>
      </c>
      <c r="V344" s="586">
        <f t="shared" si="123"/>
        <v>-100</v>
      </c>
      <c r="W344" s="611" t="s">
        <v>2074</v>
      </c>
      <c r="X344" s="618">
        <f t="shared" si="136"/>
        <v>18525</v>
      </c>
      <c r="Y344" s="618"/>
      <c r="Z344" s="617">
        <v>0</v>
      </c>
      <c r="AA344" s="361">
        <f t="shared" si="124"/>
        <v>0</v>
      </c>
      <c r="AB344" s="597"/>
      <c r="AC344" s="485">
        <f t="shared" si="125"/>
        <v>0</v>
      </c>
      <c r="AD344" s="597"/>
      <c r="AE344" s="485">
        <f t="shared" si="126"/>
        <v>0</v>
      </c>
      <c r="AF344" s="508">
        <f t="shared" si="127"/>
        <v>0</v>
      </c>
      <c r="AG344" s="508">
        <f t="shared" si="128"/>
        <v>0</v>
      </c>
      <c r="AH344" s="508">
        <f t="shared" si="129"/>
        <v>0</v>
      </c>
      <c r="AI344" s="508">
        <f t="shared" si="130"/>
        <v>0</v>
      </c>
      <c r="AJ344" s="508">
        <f t="shared" si="131"/>
        <v>0</v>
      </c>
      <c r="AK344" s="508">
        <f t="shared" si="132"/>
        <v>0</v>
      </c>
      <c r="AL344" s="116">
        <v>6</v>
      </c>
      <c r="AM344" s="486">
        <f t="shared" si="133"/>
        <v>14.76</v>
      </c>
      <c r="AN344" s="117">
        <f>ROUND((AL344-AM344),0)</f>
        <v>-9</v>
      </c>
      <c r="AO344" s="487">
        <f t="shared" si="134"/>
        <v>-156</v>
      </c>
      <c r="AP344" s="610"/>
    </row>
    <row r="345" spans="1:44" ht="14.25" customHeight="1">
      <c r="A345" s="701">
        <v>339</v>
      </c>
      <c r="B345" s="477"/>
      <c r="C345" s="477" t="s">
        <v>1497</v>
      </c>
      <c r="D345" s="477" t="s">
        <v>1212</v>
      </c>
      <c r="E345" s="475" t="s">
        <v>1453</v>
      </c>
      <c r="F345" s="611" t="s">
        <v>2066</v>
      </c>
      <c r="G345" s="579" t="s">
        <v>1965</v>
      </c>
      <c r="H345" s="482">
        <v>1</v>
      </c>
      <c r="I345" s="580">
        <v>40544</v>
      </c>
      <c r="J345" s="580">
        <v>37681</v>
      </c>
      <c r="K345" s="581">
        <v>31280</v>
      </c>
      <c r="L345" s="581">
        <v>341.88</v>
      </c>
      <c r="M345" s="582"/>
      <c r="N345" s="582"/>
      <c r="O345" s="582"/>
      <c r="P345" s="582">
        <f t="shared" si="119"/>
        <v>31280</v>
      </c>
      <c r="Q345" s="582">
        <f t="shared" si="120"/>
        <v>341.88</v>
      </c>
      <c r="R345" s="583">
        <f t="shared" si="121"/>
        <v>34200</v>
      </c>
      <c r="S345" s="668">
        <f>AP345</f>
        <v>10</v>
      </c>
      <c r="T345" s="584">
        <v>4</v>
      </c>
      <c r="U345" s="585">
        <f>IF(S345="",R345,ROUND(R345*(S345-T345)/100,0))</f>
        <v>2052</v>
      </c>
      <c r="V345" s="586">
        <f t="shared" si="123"/>
        <v>500.21</v>
      </c>
      <c r="W345" s="611"/>
      <c r="X345" s="618">
        <f t="shared" si="136"/>
        <v>31280</v>
      </c>
      <c r="Y345" s="618"/>
      <c r="Z345" s="489">
        <v>40000</v>
      </c>
      <c r="AA345" s="361">
        <f t="shared" si="124"/>
        <v>34188.03</v>
      </c>
      <c r="AB345" s="597"/>
      <c r="AC345" s="485">
        <f t="shared" si="125"/>
        <v>0</v>
      </c>
      <c r="AD345" s="597"/>
      <c r="AE345" s="485">
        <f t="shared" si="126"/>
        <v>0</v>
      </c>
      <c r="AF345" s="508">
        <f t="shared" si="127"/>
        <v>0</v>
      </c>
      <c r="AG345" s="508">
        <f t="shared" si="128"/>
        <v>0</v>
      </c>
      <c r="AH345" s="508">
        <f t="shared" si="129"/>
        <v>40000</v>
      </c>
      <c r="AI345" s="508">
        <f t="shared" si="130"/>
        <v>0</v>
      </c>
      <c r="AJ345" s="508">
        <f t="shared" si="131"/>
        <v>5811.97</v>
      </c>
      <c r="AK345" s="508">
        <f t="shared" si="132"/>
        <v>34200</v>
      </c>
      <c r="AL345" s="116">
        <v>16</v>
      </c>
      <c r="AM345" s="486">
        <f t="shared" si="133"/>
        <v>14.76</v>
      </c>
      <c r="AN345" s="632">
        <v>2</v>
      </c>
      <c r="AO345" s="487">
        <f t="shared" si="134"/>
        <v>12</v>
      </c>
      <c r="AP345" s="669">
        <v>10</v>
      </c>
    </row>
    <row r="346" spans="1:44" ht="14.25" customHeight="1">
      <c r="A346" s="701">
        <v>340</v>
      </c>
      <c r="B346" s="477"/>
      <c r="C346" s="477" t="s">
        <v>1620</v>
      </c>
      <c r="D346" s="477" t="s">
        <v>1360</v>
      </c>
      <c r="E346" s="475" t="s">
        <v>1453</v>
      </c>
      <c r="F346" s="477"/>
      <c r="G346" s="482" t="s">
        <v>1943</v>
      </c>
      <c r="H346" s="482">
        <v>1</v>
      </c>
      <c r="I346" s="580">
        <v>40544</v>
      </c>
      <c r="J346" s="580">
        <v>37681</v>
      </c>
      <c r="K346" s="581">
        <v>4000</v>
      </c>
      <c r="L346" s="581">
        <v>0</v>
      </c>
      <c r="M346" s="582"/>
      <c r="N346" s="582"/>
      <c r="O346" s="582"/>
      <c r="P346" s="582">
        <f t="shared" si="119"/>
        <v>4000</v>
      </c>
      <c r="Q346" s="582">
        <f t="shared" si="120"/>
        <v>0</v>
      </c>
      <c r="R346" s="583">
        <f t="shared" si="121"/>
        <v>100</v>
      </c>
      <c r="S346" s="584"/>
      <c r="T346" s="584">
        <v>3</v>
      </c>
      <c r="U346" s="585">
        <f>ROUND(R346*(1-T346/100),0)</f>
        <v>97</v>
      </c>
      <c r="V346" s="586" t="str">
        <f t="shared" si="123"/>
        <v/>
      </c>
      <c r="W346" s="611" t="s">
        <v>2074</v>
      </c>
      <c r="X346" s="618">
        <f t="shared" si="136"/>
        <v>4000</v>
      </c>
      <c r="Y346" s="618"/>
      <c r="Z346" s="617">
        <v>100</v>
      </c>
      <c r="AA346" s="361">
        <f t="shared" si="124"/>
        <v>85.47</v>
      </c>
      <c r="AB346" s="597"/>
      <c r="AC346" s="485">
        <f t="shared" si="125"/>
        <v>0</v>
      </c>
      <c r="AD346" s="597"/>
      <c r="AE346" s="485">
        <f t="shared" si="126"/>
        <v>0</v>
      </c>
      <c r="AF346" s="508">
        <f t="shared" si="127"/>
        <v>0</v>
      </c>
      <c r="AG346" s="508">
        <f t="shared" si="128"/>
        <v>0</v>
      </c>
      <c r="AH346" s="508">
        <f t="shared" si="129"/>
        <v>100</v>
      </c>
      <c r="AI346" s="508">
        <f t="shared" si="130"/>
        <v>0</v>
      </c>
      <c r="AJ346" s="508">
        <f t="shared" si="131"/>
        <v>14.53</v>
      </c>
      <c r="AK346" s="508">
        <f t="shared" si="132"/>
        <v>100</v>
      </c>
      <c r="AL346" s="116">
        <v>8</v>
      </c>
      <c r="AM346" s="486">
        <f t="shared" si="133"/>
        <v>14.76</v>
      </c>
      <c r="AN346" s="117">
        <f>ROUND((AL346-AM346),0)</f>
        <v>-7</v>
      </c>
      <c r="AO346" s="487">
        <f t="shared" si="134"/>
        <v>-90</v>
      </c>
      <c r="AP346" s="610"/>
    </row>
    <row r="347" spans="1:44" ht="14.25" customHeight="1">
      <c r="A347" s="701">
        <v>341</v>
      </c>
      <c r="B347" s="477"/>
      <c r="C347" s="477" t="s">
        <v>1990</v>
      </c>
      <c r="D347" s="477" t="s">
        <v>1212</v>
      </c>
      <c r="E347" s="475" t="s">
        <v>1453</v>
      </c>
      <c r="F347" s="611" t="s">
        <v>2066</v>
      </c>
      <c r="G347" s="579" t="s">
        <v>1965</v>
      </c>
      <c r="H347" s="482">
        <v>1</v>
      </c>
      <c r="I347" s="580">
        <v>40544</v>
      </c>
      <c r="J347" s="580">
        <v>37681</v>
      </c>
      <c r="K347" s="581">
        <v>31280</v>
      </c>
      <c r="L347" s="581">
        <v>0</v>
      </c>
      <c r="M347" s="582"/>
      <c r="N347" s="582"/>
      <c r="O347" s="582"/>
      <c r="P347" s="582">
        <f t="shared" si="119"/>
        <v>31280</v>
      </c>
      <c r="Q347" s="582">
        <f t="shared" si="120"/>
        <v>0</v>
      </c>
      <c r="R347" s="583">
        <f t="shared" si="121"/>
        <v>34200</v>
      </c>
      <c r="S347" s="668">
        <f>AP347</f>
        <v>10</v>
      </c>
      <c r="T347" s="584">
        <v>4</v>
      </c>
      <c r="U347" s="585">
        <f>IF(S347="",R347,ROUND(R347*(S347-T347)/100,0))</f>
        <v>2052</v>
      </c>
      <c r="V347" s="586" t="str">
        <f t="shared" si="123"/>
        <v/>
      </c>
      <c r="W347" s="611"/>
      <c r="X347" s="618">
        <f t="shared" si="136"/>
        <v>31280</v>
      </c>
      <c r="Y347" s="618"/>
      <c r="Z347" s="489">
        <v>40000</v>
      </c>
      <c r="AA347" s="361">
        <f t="shared" si="124"/>
        <v>34188.03</v>
      </c>
      <c r="AB347" s="597"/>
      <c r="AC347" s="485">
        <f t="shared" si="125"/>
        <v>0</v>
      </c>
      <c r="AD347" s="597"/>
      <c r="AE347" s="485">
        <f t="shared" si="126"/>
        <v>0</v>
      </c>
      <c r="AF347" s="508">
        <f t="shared" si="127"/>
        <v>0</v>
      </c>
      <c r="AG347" s="508">
        <f t="shared" si="128"/>
        <v>0</v>
      </c>
      <c r="AH347" s="508">
        <f t="shared" si="129"/>
        <v>40000</v>
      </c>
      <c r="AI347" s="508">
        <f t="shared" si="130"/>
        <v>0</v>
      </c>
      <c r="AJ347" s="508">
        <f t="shared" si="131"/>
        <v>5811.97</v>
      </c>
      <c r="AK347" s="508">
        <f t="shared" si="132"/>
        <v>34200</v>
      </c>
      <c r="AL347" s="116">
        <v>16</v>
      </c>
      <c r="AM347" s="486">
        <f t="shared" si="133"/>
        <v>14.76</v>
      </c>
      <c r="AN347" s="632">
        <v>2</v>
      </c>
      <c r="AO347" s="487">
        <f t="shared" si="134"/>
        <v>12</v>
      </c>
      <c r="AP347" s="669">
        <v>10</v>
      </c>
    </row>
    <row r="348" spans="1:44" ht="14.25" customHeight="1">
      <c r="A348" s="701">
        <v>342</v>
      </c>
      <c r="B348" s="477"/>
      <c r="C348" s="477" t="s">
        <v>1468</v>
      </c>
      <c r="D348" s="477" t="s">
        <v>1361</v>
      </c>
      <c r="E348" s="475" t="s">
        <v>1453</v>
      </c>
      <c r="F348" s="477"/>
      <c r="G348" s="482" t="s">
        <v>1943</v>
      </c>
      <c r="H348" s="482">
        <v>1</v>
      </c>
      <c r="I348" s="580">
        <v>40544</v>
      </c>
      <c r="J348" s="580">
        <v>37681</v>
      </c>
      <c r="K348" s="581">
        <v>5225</v>
      </c>
      <c r="L348" s="581">
        <v>377.44</v>
      </c>
      <c r="M348" s="582"/>
      <c r="N348" s="582"/>
      <c r="O348" s="582"/>
      <c r="P348" s="582">
        <f t="shared" si="119"/>
        <v>5225</v>
      </c>
      <c r="Q348" s="582">
        <f t="shared" si="120"/>
        <v>377.44</v>
      </c>
      <c r="R348" s="583">
        <f t="shared" si="121"/>
        <v>100</v>
      </c>
      <c r="S348" s="584"/>
      <c r="T348" s="584">
        <v>3</v>
      </c>
      <c r="U348" s="585">
        <f t="shared" ref="U348:U357" si="137">ROUND(R348*(1-T348/100),0)</f>
        <v>97</v>
      </c>
      <c r="V348" s="586">
        <f t="shared" si="123"/>
        <v>-74.3</v>
      </c>
      <c r="W348" s="611" t="s">
        <v>2074</v>
      </c>
      <c r="X348" s="618">
        <f t="shared" si="136"/>
        <v>5225</v>
      </c>
      <c r="Y348" s="618"/>
      <c r="Z348" s="617">
        <v>100</v>
      </c>
      <c r="AA348" s="361">
        <f t="shared" si="124"/>
        <v>85.47</v>
      </c>
      <c r="AB348" s="597"/>
      <c r="AC348" s="485">
        <f t="shared" si="125"/>
        <v>0</v>
      </c>
      <c r="AD348" s="597"/>
      <c r="AE348" s="485">
        <f t="shared" si="126"/>
        <v>0</v>
      </c>
      <c r="AF348" s="508">
        <f t="shared" si="127"/>
        <v>0</v>
      </c>
      <c r="AG348" s="508">
        <f t="shared" si="128"/>
        <v>0</v>
      </c>
      <c r="AH348" s="508">
        <f t="shared" si="129"/>
        <v>100</v>
      </c>
      <c r="AI348" s="508">
        <f t="shared" si="130"/>
        <v>0</v>
      </c>
      <c r="AJ348" s="508">
        <f t="shared" si="131"/>
        <v>14.53</v>
      </c>
      <c r="AK348" s="508">
        <f t="shared" si="132"/>
        <v>100</v>
      </c>
      <c r="AL348" s="116">
        <v>8</v>
      </c>
      <c r="AM348" s="486">
        <f t="shared" si="133"/>
        <v>14.76</v>
      </c>
      <c r="AN348" s="117">
        <f t="shared" ref="AN348:AN357" si="138">ROUND((AL348-AM348),0)</f>
        <v>-7</v>
      </c>
      <c r="AO348" s="487">
        <f t="shared" si="134"/>
        <v>-90</v>
      </c>
      <c r="AP348" s="610"/>
    </row>
    <row r="349" spans="1:44" ht="14.25" customHeight="1">
      <c r="A349" s="701">
        <v>343</v>
      </c>
      <c r="B349" s="477"/>
      <c r="C349" s="477" t="s">
        <v>1751</v>
      </c>
      <c r="D349" s="477" t="s">
        <v>1362</v>
      </c>
      <c r="E349" s="475" t="s">
        <v>1453</v>
      </c>
      <c r="F349" s="477"/>
      <c r="G349" s="482" t="s">
        <v>1943</v>
      </c>
      <c r="H349" s="482">
        <v>1</v>
      </c>
      <c r="I349" s="580">
        <v>40544</v>
      </c>
      <c r="J349" s="580">
        <v>37681</v>
      </c>
      <c r="K349" s="581">
        <v>4416</v>
      </c>
      <c r="L349" s="581">
        <v>0</v>
      </c>
      <c r="M349" s="582"/>
      <c r="N349" s="582"/>
      <c r="O349" s="582"/>
      <c r="P349" s="582">
        <f t="shared" si="119"/>
        <v>4416</v>
      </c>
      <c r="Q349" s="582">
        <f t="shared" si="120"/>
        <v>0</v>
      </c>
      <c r="R349" s="583">
        <f t="shared" si="121"/>
        <v>100</v>
      </c>
      <c r="S349" s="584"/>
      <c r="T349" s="584">
        <v>3</v>
      </c>
      <c r="U349" s="585">
        <f t="shared" si="137"/>
        <v>97</v>
      </c>
      <c r="V349" s="586" t="str">
        <f t="shared" si="123"/>
        <v/>
      </c>
      <c r="W349" s="611" t="s">
        <v>2074</v>
      </c>
      <c r="X349" s="618">
        <f t="shared" si="136"/>
        <v>4416</v>
      </c>
      <c r="Y349" s="618"/>
      <c r="Z349" s="617">
        <v>100</v>
      </c>
      <c r="AA349" s="361">
        <f t="shared" si="124"/>
        <v>85.47</v>
      </c>
      <c r="AB349" s="597"/>
      <c r="AC349" s="485">
        <f t="shared" si="125"/>
        <v>0</v>
      </c>
      <c r="AD349" s="597"/>
      <c r="AE349" s="485">
        <f t="shared" si="126"/>
        <v>0</v>
      </c>
      <c r="AF349" s="508">
        <f t="shared" si="127"/>
        <v>0</v>
      </c>
      <c r="AG349" s="508">
        <f t="shared" si="128"/>
        <v>0</v>
      </c>
      <c r="AH349" s="508">
        <f t="shared" si="129"/>
        <v>100</v>
      </c>
      <c r="AI349" s="508">
        <f t="shared" si="130"/>
        <v>0</v>
      </c>
      <c r="AJ349" s="508">
        <f t="shared" si="131"/>
        <v>14.53</v>
      </c>
      <c r="AK349" s="508">
        <f t="shared" si="132"/>
        <v>100</v>
      </c>
      <c r="AM349" s="486">
        <f t="shared" si="133"/>
        <v>14.76</v>
      </c>
      <c r="AN349" s="117">
        <f t="shared" si="138"/>
        <v>-15</v>
      </c>
      <c r="AO349" s="487">
        <f t="shared" si="134"/>
        <v>6250</v>
      </c>
      <c r="AP349" s="610"/>
    </row>
    <row r="350" spans="1:44" ht="14.25" customHeight="1">
      <c r="A350" s="701">
        <v>344</v>
      </c>
      <c r="B350" s="477"/>
      <c r="C350" s="477" t="s">
        <v>1751</v>
      </c>
      <c r="D350" s="477" t="s">
        <v>1362</v>
      </c>
      <c r="E350" s="475" t="s">
        <v>1453</v>
      </c>
      <c r="F350" s="477"/>
      <c r="G350" s="482" t="s">
        <v>1943</v>
      </c>
      <c r="H350" s="482">
        <v>1</v>
      </c>
      <c r="I350" s="580">
        <v>40544</v>
      </c>
      <c r="J350" s="580">
        <v>37681</v>
      </c>
      <c r="K350" s="581">
        <v>4416</v>
      </c>
      <c r="L350" s="581">
        <v>0</v>
      </c>
      <c r="M350" s="582"/>
      <c r="N350" s="582"/>
      <c r="O350" s="582"/>
      <c r="P350" s="582">
        <f t="shared" si="119"/>
        <v>4416</v>
      </c>
      <c r="Q350" s="582">
        <f t="shared" si="120"/>
        <v>0</v>
      </c>
      <c r="R350" s="583">
        <f t="shared" si="121"/>
        <v>100</v>
      </c>
      <c r="S350" s="584"/>
      <c r="T350" s="584">
        <v>3</v>
      </c>
      <c r="U350" s="585">
        <f t="shared" si="137"/>
        <v>97</v>
      </c>
      <c r="V350" s="586" t="str">
        <f t="shared" si="123"/>
        <v/>
      </c>
      <c r="W350" s="611" t="s">
        <v>2074</v>
      </c>
      <c r="X350" s="618">
        <f t="shared" si="136"/>
        <v>4416</v>
      </c>
      <c r="Y350" s="618"/>
      <c r="Z350" s="617">
        <v>100</v>
      </c>
      <c r="AA350" s="361">
        <f t="shared" si="124"/>
        <v>85.47</v>
      </c>
      <c r="AB350" s="597"/>
      <c r="AC350" s="485">
        <f t="shared" si="125"/>
        <v>0</v>
      </c>
      <c r="AD350" s="597"/>
      <c r="AE350" s="485">
        <f t="shared" si="126"/>
        <v>0</v>
      </c>
      <c r="AF350" s="508">
        <f t="shared" si="127"/>
        <v>0</v>
      </c>
      <c r="AG350" s="508">
        <f t="shared" si="128"/>
        <v>0</v>
      </c>
      <c r="AH350" s="508">
        <f t="shared" si="129"/>
        <v>100</v>
      </c>
      <c r="AI350" s="508">
        <f t="shared" si="130"/>
        <v>0</v>
      </c>
      <c r="AJ350" s="508">
        <f t="shared" si="131"/>
        <v>14.53</v>
      </c>
      <c r="AK350" s="508">
        <f t="shared" si="132"/>
        <v>100</v>
      </c>
      <c r="AM350" s="486">
        <f t="shared" si="133"/>
        <v>14.76</v>
      </c>
      <c r="AN350" s="117">
        <f t="shared" si="138"/>
        <v>-15</v>
      </c>
      <c r="AO350" s="487">
        <f t="shared" si="134"/>
        <v>6250</v>
      </c>
      <c r="AP350" s="610"/>
    </row>
    <row r="351" spans="1:44" ht="14.25" customHeight="1">
      <c r="A351" s="701">
        <v>345</v>
      </c>
      <c r="B351" s="477"/>
      <c r="C351" s="477" t="s">
        <v>1591</v>
      </c>
      <c r="D351" s="477"/>
      <c r="E351" s="475" t="s">
        <v>1453</v>
      </c>
      <c r="F351" s="477"/>
      <c r="G351" s="482" t="s">
        <v>1943</v>
      </c>
      <c r="H351" s="482">
        <v>1</v>
      </c>
      <c r="I351" s="580">
        <v>40544</v>
      </c>
      <c r="J351" s="580">
        <v>37681</v>
      </c>
      <c r="K351" s="581">
        <v>750</v>
      </c>
      <c r="L351" s="581">
        <v>0</v>
      </c>
      <c r="M351" s="582"/>
      <c r="N351" s="582"/>
      <c r="O351" s="582"/>
      <c r="P351" s="582">
        <f t="shared" si="119"/>
        <v>750</v>
      </c>
      <c r="Q351" s="582">
        <f t="shared" si="120"/>
        <v>0</v>
      </c>
      <c r="R351" s="583">
        <f t="shared" si="121"/>
        <v>100</v>
      </c>
      <c r="S351" s="584"/>
      <c r="T351" s="584">
        <v>3</v>
      </c>
      <c r="U351" s="585">
        <f t="shared" si="137"/>
        <v>97</v>
      </c>
      <c r="V351" s="586" t="str">
        <f t="shared" si="123"/>
        <v/>
      </c>
      <c r="W351" s="611" t="s">
        <v>2076</v>
      </c>
      <c r="X351" s="618">
        <f t="shared" si="136"/>
        <v>750</v>
      </c>
      <c r="Y351" s="618"/>
      <c r="Z351" s="617">
        <v>100</v>
      </c>
      <c r="AA351" s="361">
        <f t="shared" si="124"/>
        <v>85.47</v>
      </c>
      <c r="AB351" s="597"/>
      <c r="AC351" s="485">
        <f t="shared" si="125"/>
        <v>0</v>
      </c>
      <c r="AD351" s="597"/>
      <c r="AE351" s="485">
        <f t="shared" si="126"/>
        <v>0</v>
      </c>
      <c r="AF351" s="508">
        <f t="shared" si="127"/>
        <v>0</v>
      </c>
      <c r="AG351" s="508">
        <f t="shared" si="128"/>
        <v>0</v>
      </c>
      <c r="AH351" s="508">
        <f t="shared" si="129"/>
        <v>100</v>
      </c>
      <c r="AI351" s="508">
        <f t="shared" si="130"/>
        <v>0</v>
      </c>
      <c r="AJ351" s="508">
        <f t="shared" si="131"/>
        <v>14.53</v>
      </c>
      <c r="AK351" s="508">
        <f t="shared" si="132"/>
        <v>100</v>
      </c>
      <c r="AL351" s="116">
        <v>8</v>
      </c>
      <c r="AM351" s="486">
        <f t="shared" si="133"/>
        <v>14.76</v>
      </c>
      <c r="AN351" s="117">
        <f t="shared" si="138"/>
        <v>-7</v>
      </c>
      <c r="AO351" s="487">
        <f t="shared" si="134"/>
        <v>-90</v>
      </c>
      <c r="AP351" s="610"/>
    </row>
    <row r="352" spans="1:44" ht="14.25" customHeight="1">
      <c r="A352" s="701">
        <v>346</v>
      </c>
      <c r="B352" s="477"/>
      <c r="C352" s="477" t="s">
        <v>1591</v>
      </c>
      <c r="D352" s="477"/>
      <c r="E352" s="475" t="s">
        <v>1453</v>
      </c>
      <c r="F352" s="477"/>
      <c r="G352" s="482" t="s">
        <v>1943</v>
      </c>
      <c r="H352" s="482">
        <v>1</v>
      </c>
      <c r="I352" s="580">
        <v>40544</v>
      </c>
      <c r="J352" s="580">
        <v>37681</v>
      </c>
      <c r="K352" s="581">
        <v>750</v>
      </c>
      <c r="L352" s="581">
        <v>0</v>
      </c>
      <c r="M352" s="582"/>
      <c r="N352" s="582"/>
      <c r="O352" s="582"/>
      <c r="P352" s="582">
        <f t="shared" si="119"/>
        <v>750</v>
      </c>
      <c r="Q352" s="582">
        <f t="shared" si="120"/>
        <v>0</v>
      </c>
      <c r="R352" s="583">
        <f t="shared" si="121"/>
        <v>100</v>
      </c>
      <c r="S352" s="584"/>
      <c r="T352" s="584">
        <v>3</v>
      </c>
      <c r="U352" s="585">
        <f t="shared" si="137"/>
        <v>97</v>
      </c>
      <c r="V352" s="586" t="str">
        <f t="shared" si="123"/>
        <v/>
      </c>
      <c r="W352" s="611" t="s">
        <v>2076</v>
      </c>
      <c r="X352" s="618">
        <f t="shared" si="136"/>
        <v>750</v>
      </c>
      <c r="Y352" s="618"/>
      <c r="Z352" s="617">
        <v>100</v>
      </c>
      <c r="AA352" s="361">
        <f t="shared" si="124"/>
        <v>85.47</v>
      </c>
      <c r="AB352" s="597"/>
      <c r="AC352" s="485">
        <f t="shared" si="125"/>
        <v>0</v>
      </c>
      <c r="AD352" s="597"/>
      <c r="AE352" s="485">
        <f t="shared" si="126"/>
        <v>0</v>
      </c>
      <c r="AF352" s="508">
        <f t="shared" si="127"/>
        <v>0</v>
      </c>
      <c r="AG352" s="508">
        <f t="shared" si="128"/>
        <v>0</v>
      </c>
      <c r="AH352" s="508">
        <f t="shared" si="129"/>
        <v>100</v>
      </c>
      <c r="AI352" s="508">
        <f t="shared" si="130"/>
        <v>0</v>
      </c>
      <c r="AJ352" s="508">
        <f t="shared" si="131"/>
        <v>14.53</v>
      </c>
      <c r="AK352" s="508">
        <f t="shared" si="132"/>
        <v>100</v>
      </c>
      <c r="AL352" s="116">
        <v>8</v>
      </c>
      <c r="AM352" s="486">
        <f t="shared" si="133"/>
        <v>14.76</v>
      </c>
      <c r="AN352" s="117">
        <f t="shared" si="138"/>
        <v>-7</v>
      </c>
      <c r="AO352" s="487">
        <f t="shared" si="134"/>
        <v>-90</v>
      </c>
      <c r="AP352" s="610"/>
    </row>
    <row r="353" spans="1:42" ht="14.25" customHeight="1">
      <c r="A353" s="701">
        <v>347</v>
      </c>
      <c r="B353" s="477"/>
      <c r="C353" s="477" t="s">
        <v>1467</v>
      </c>
      <c r="D353" s="477" t="s">
        <v>1363</v>
      </c>
      <c r="E353" s="475" t="s">
        <v>1453</v>
      </c>
      <c r="F353" s="477"/>
      <c r="G353" s="482" t="s">
        <v>1943</v>
      </c>
      <c r="H353" s="482">
        <v>1</v>
      </c>
      <c r="I353" s="580">
        <v>40544</v>
      </c>
      <c r="J353" s="580">
        <v>37681</v>
      </c>
      <c r="K353" s="581">
        <v>5225</v>
      </c>
      <c r="L353" s="581">
        <v>204.44</v>
      </c>
      <c r="M353" s="582"/>
      <c r="N353" s="582"/>
      <c r="O353" s="582"/>
      <c r="P353" s="582">
        <f t="shared" si="119"/>
        <v>5225</v>
      </c>
      <c r="Q353" s="582">
        <f t="shared" si="120"/>
        <v>204.44</v>
      </c>
      <c r="R353" s="583">
        <f t="shared" si="121"/>
        <v>100</v>
      </c>
      <c r="S353" s="584"/>
      <c r="T353" s="584">
        <v>3</v>
      </c>
      <c r="U353" s="585">
        <f t="shared" si="137"/>
        <v>97</v>
      </c>
      <c r="V353" s="586">
        <f t="shared" si="123"/>
        <v>-52.55</v>
      </c>
      <c r="W353" s="611" t="s">
        <v>2074</v>
      </c>
      <c r="X353" s="618">
        <f t="shared" si="136"/>
        <v>5225</v>
      </c>
      <c r="Y353" s="618"/>
      <c r="Z353" s="617">
        <v>100</v>
      </c>
      <c r="AA353" s="361">
        <f t="shared" si="124"/>
        <v>85.47</v>
      </c>
      <c r="AB353" s="597"/>
      <c r="AC353" s="485">
        <f t="shared" si="125"/>
        <v>0</v>
      </c>
      <c r="AD353" s="597"/>
      <c r="AE353" s="485">
        <f t="shared" si="126"/>
        <v>0</v>
      </c>
      <c r="AF353" s="508">
        <f t="shared" si="127"/>
        <v>0</v>
      </c>
      <c r="AG353" s="508">
        <f t="shared" si="128"/>
        <v>0</v>
      </c>
      <c r="AH353" s="508">
        <f t="shared" si="129"/>
        <v>100</v>
      </c>
      <c r="AI353" s="508">
        <f t="shared" si="130"/>
        <v>0</v>
      </c>
      <c r="AJ353" s="508">
        <f t="shared" si="131"/>
        <v>14.53</v>
      </c>
      <c r="AK353" s="508">
        <f t="shared" si="132"/>
        <v>100</v>
      </c>
      <c r="AL353" s="116">
        <v>8</v>
      </c>
      <c r="AM353" s="486">
        <f t="shared" si="133"/>
        <v>14.76</v>
      </c>
      <c r="AN353" s="117">
        <f t="shared" si="138"/>
        <v>-7</v>
      </c>
      <c r="AO353" s="487">
        <f t="shared" si="134"/>
        <v>-90</v>
      </c>
      <c r="AP353" s="610"/>
    </row>
    <row r="354" spans="1:42" ht="14.25" customHeight="1">
      <c r="A354" s="701">
        <v>348</v>
      </c>
      <c r="B354" s="477"/>
      <c r="C354" s="477" t="s">
        <v>1768</v>
      </c>
      <c r="D354" s="477" t="s">
        <v>1364</v>
      </c>
      <c r="E354" s="475" t="s">
        <v>1453</v>
      </c>
      <c r="F354" s="477"/>
      <c r="G354" s="482" t="s">
        <v>1943</v>
      </c>
      <c r="H354" s="482">
        <v>1</v>
      </c>
      <c r="I354" s="580">
        <v>40544</v>
      </c>
      <c r="J354" s="580">
        <v>37681</v>
      </c>
      <c r="K354" s="581">
        <v>2392</v>
      </c>
      <c r="L354" s="581">
        <v>0</v>
      </c>
      <c r="M354" s="582"/>
      <c r="N354" s="582"/>
      <c r="O354" s="582"/>
      <c r="P354" s="582">
        <f t="shared" si="119"/>
        <v>2392</v>
      </c>
      <c r="Q354" s="582">
        <f t="shared" si="120"/>
        <v>0</v>
      </c>
      <c r="R354" s="583">
        <f t="shared" si="121"/>
        <v>100</v>
      </c>
      <c r="S354" s="584"/>
      <c r="T354" s="584">
        <v>3</v>
      </c>
      <c r="U354" s="585">
        <f t="shared" si="137"/>
        <v>97</v>
      </c>
      <c r="V354" s="586" t="str">
        <f t="shared" si="123"/>
        <v/>
      </c>
      <c r="W354" s="611" t="s">
        <v>2076</v>
      </c>
      <c r="X354" s="618">
        <f t="shared" si="136"/>
        <v>2392</v>
      </c>
      <c r="Y354" s="618"/>
      <c r="Z354" s="617">
        <v>100</v>
      </c>
      <c r="AA354" s="361">
        <f t="shared" si="124"/>
        <v>85.47</v>
      </c>
      <c r="AB354" s="597"/>
      <c r="AC354" s="485">
        <f t="shared" si="125"/>
        <v>0</v>
      </c>
      <c r="AD354" s="597"/>
      <c r="AE354" s="485">
        <f t="shared" si="126"/>
        <v>0</v>
      </c>
      <c r="AF354" s="508">
        <f t="shared" si="127"/>
        <v>0</v>
      </c>
      <c r="AG354" s="508">
        <f t="shared" si="128"/>
        <v>0</v>
      </c>
      <c r="AH354" s="508">
        <f t="shared" si="129"/>
        <v>100</v>
      </c>
      <c r="AI354" s="508">
        <f t="shared" si="130"/>
        <v>0</v>
      </c>
      <c r="AJ354" s="508">
        <f t="shared" si="131"/>
        <v>14.53</v>
      </c>
      <c r="AK354" s="508">
        <f t="shared" si="132"/>
        <v>100</v>
      </c>
      <c r="AM354" s="486">
        <f t="shared" si="133"/>
        <v>14.76</v>
      </c>
      <c r="AN354" s="117">
        <f t="shared" si="138"/>
        <v>-15</v>
      </c>
      <c r="AO354" s="487">
        <f t="shared" si="134"/>
        <v>6250</v>
      </c>
      <c r="AP354" s="610"/>
    </row>
    <row r="355" spans="1:42" ht="14.25" customHeight="1">
      <c r="A355" s="701">
        <v>349</v>
      </c>
      <c r="B355" s="477"/>
      <c r="C355" s="477" t="s">
        <v>1483</v>
      </c>
      <c r="D355" s="477" t="s">
        <v>1365</v>
      </c>
      <c r="E355" s="475" t="s">
        <v>1453</v>
      </c>
      <c r="F355" s="477"/>
      <c r="G355" s="482" t="s">
        <v>1943</v>
      </c>
      <c r="H355" s="482">
        <v>1</v>
      </c>
      <c r="I355" s="580">
        <v>40544</v>
      </c>
      <c r="J355" s="580">
        <v>37681</v>
      </c>
      <c r="K355" s="581">
        <v>1900</v>
      </c>
      <c r="L355" s="581">
        <v>0</v>
      </c>
      <c r="M355" s="582"/>
      <c r="N355" s="582"/>
      <c r="O355" s="582"/>
      <c r="P355" s="582">
        <f t="shared" si="119"/>
        <v>1900</v>
      </c>
      <c r="Q355" s="582">
        <f t="shared" si="120"/>
        <v>0</v>
      </c>
      <c r="R355" s="583">
        <f t="shared" si="121"/>
        <v>100</v>
      </c>
      <c r="S355" s="584"/>
      <c r="T355" s="584">
        <v>3</v>
      </c>
      <c r="U355" s="585">
        <f t="shared" si="137"/>
        <v>97</v>
      </c>
      <c r="V355" s="586" t="str">
        <f t="shared" si="123"/>
        <v/>
      </c>
      <c r="W355" s="611" t="s">
        <v>2074</v>
      </c>
      <c r="X355" s="618">
        <f t="shared" si="136"/>
        <v>1900</v>
      </c>
      <c r="Y355" s="618"/>
      <c r="Z355" s="617">
        <v>100</v>
      </c>
      <c r="AA355" s="361">
        <f t="shared" si="124"/>
        <v>85.47</v>
      </c>
      <c r="AB355" s="597"/>
      <c r="AC355" s="485">
        <f t="shared" si="125"/>
        <v>0</v>
      </c>
      <c r="AD355" s="597"/>
      <c r="AE355" s="485">
        <f t="shared" si="126"/>
        <v>0</v>
      </c>
      <c r="AF355" s="508">
        <f t="shared" si="127"/>
        <v>0</v>
      </c>
      <c r="AG355" s="508">
        <f t="shared" si="128"/>
        <v>0</v>
      </c>
      <c r="AH355" s="508">
        <f t="shared" si="129"/>
        <v>100</v>
      </c>
      <c r="AI355" s="508">
        <f t="shared" si="130"/>
        <v>0</v>
      </c>
      <c r="AJ355" s="508">
        <f t="shared" si="131"/>
        <v>14.53</v>
      </c>
      <c r="AK355" s="508">
        <f t="shared" si="132"/>
        <v>100</v>
      </c>
      <c r="AL355" s="116">
        <v>8</v>
      </c>
      <c r="AM355" s="486">
        <f t="shared" si="133"/>
        <v>14.76</v>
      </c>
      <c r="AN355" s="117">
        <f t="shared" si="138"/>
        <v>-7</v>
      </c>
      <c r="AO355" s="487">
        <f t="shared" si="134"/>
        <v>-90</v>
      </c>
      <c r="AP355" s="610"/>
    </row>
    <row r="356" spans="1:42" ht="14.25" customHeight="1">
      <c r="A356" s="701">
        <v>350</v>
      </c>
      <c r="B356" s="477"/>
      <c r="C356" s="477" t="s">
        <v>1552</v>
      </c>
      <c r="D356" s="477" t="s">
        <v>1366</v>
      </c>
      <c r="E356" s="475" t="s">
        <v>1453</v>
      </c>
      <c r="F356" s="611" t="s">
        <v>2013</v>
      </c>
      <c r="G356" s="482" t="s">
        <v>1943</v>
      </c>
      <c r="H356" s="482">
        <v>1</v>
      </c>
      <c r="I356" s="580">
        <v>40544</v>
      </c>
      <c r="J356" s="580">
        <v>37681</v>
      </c>
      <c r="K356" s="581">
        <v>13205</v>
      </c>
      <c r="L356" s="581">
        <v>836.32</v>
      </c>
      <c r="M356" s="582"/>
      <c r="N356" s="582"/>
      <c r="O356" s="582"/>
      <c r="P356" s="582">
        <f t="shared" si="119"/>
        <v>13205</v>
      </c>
      <c r="Q356" s="582">
        <f t="shared" si="120"/>
        <v>836.32</v>
      </c>
      <c r="R356" s="583">
        <f t="shared" si="121"/>
        <v>100</v>
      </c>
      <c r="S356" s="584"/>
      <c r="T356" s="584">
        <v>3</v>
      </c>
      <c r="U356" s="585">
        <f t="shared" si="137"/>
        <v>97</v>
      </c>
      <c r="V356" s="586">
        <f t="shared" si="123"/>
        <v>-88.4</v>
      </c>
      <c r="W356" s="611" t="s">
        <v>2074</v>
      </c>
      <c r="X356" s="618">
        <f t="shared" si="136"/>
        <v>13205</v>
      </c>
      <c r="Y356" s="618"/>
      <c r="Z356" s="617">
        <v>100</v>
      </c>
      <c r="AA356" s="361">
        <f t="shared" si="124"/>
        <v>85.47</v>
      </c>
      <c r="AB356" s="597"/>
      <c r="AC356" s="485">
        <f t="shared" si="125"/>
        <v>0</v>
      </c>
      <c r="AD356" s="597"/>
      <c r="AE356" s="485">
        <f t="shared" si="126"/>
        <v>0</v>
      </c>
      <c r="AF356" s="508">
        <f t="shared" si="127"/>
        <v>0</v>
      </c>
      <c r="AG356" s="508">
        <f t="shared" si="128"/>
        <v>0</v>
      </c>
      <c r="AH356" s="508">
        <f t="shared" si="129"/>
        <v>100</v>
      </c>
      <c r="AI356" s="508">
        <f t="shared" si="130"/>
        <v>0</v>
      </c>
      <c r="AJ356" s="508">
        <f t="shared" si="131"/>
        <v>14.53</v>
      </c>
      <c r="AK356" s="508">
        <f t="shared" si="132"/>
        <v>100</v>
      </c>
      <c r="AL356" s="116">
        <v>8</v>
      </c>
      <c r="AM356" s="486">
        <f t="shared" si="133"/>
        <v>14.76</v>
      </c>
      <c r="AN356" s="117">
        <f t="shared" si="138"/>
        <v>-7</v>
      </c>
      <c r="AO356" s="487">
        <f t="shared" si="134"/>
        <v>-90</v>
      </c>
      <c r="AP356" s="610"/>
    </row>
    <row r="357" spans="1:42" ht="14.25" customHeight="1">
      <c r="A357" s="701">
        <v>351</v>
      </c>
      <c r="B357" s="477"/>
      <c r="C357" s="477" t="s">
        <v>1662</v>
      </c>
      <c r="D357" s="477" t="s">
        <v>1367</v>
      </c>
      <c r="E357" s="475" t="s">
        <v>1453</v>
      </c>
      <c r="F357" s="611" t="s">
        <v>2013</v>
      </c>
      <c r="G357" s="482" t="s">
        <v>1943</v>
      </c>
      <c r="H357" s="482">
        <v>1</v>
      </c>
      <c r="I357" s="580">
        <v>40544</v>
      </c>
      <c r="J357" s="580">
        <v>37681</v>
      </c>
      <c r="K357" s="581">
        <v>9785</v>
      </c>
      <c r="L357" s="581">
        <v>2680.77</v>
      </c>
      <c r="M357" s="582"/>
      <c r="N357" s="582"/>
      <c r="O357" s="582"/>
      <c r="P357" s="582">
        <f t="shared" si="119"/>
        <v>9785</v>
      </c>
      <c r="Q357" s="582">
        <f t="shared" si="120"/>
        <v>2680.77</v>
      </c>
      <c r="R357" s="583">
        <f t="shared" si="121"/>
        <v>100</v>
      </c>
      <c r="S357" s="584"/>
      <c r="T357" s="584">
        <v>3</v>
      </c>
      <c r="U357" s="585">
        <f t="shared" si="137"/>
        <v>97</v>
      </c>
      <c r="V357" s="586">
        <f t="shared" si="123"/>
        <v>-96.38</v>
      </c>
      <c r="W357" s="611" t="s">
        <v>2074</v>
      </c>
      <c r="X357" s="618">
        <f t="shared" si="136"/>
        <v>9785</v>
      </c>
      <c r="Y357" s="618"/>
      <c r="Z357" s="617">
        <v>100</v>
      </c>
      <c r="AA357" s="361">
        <f t="shared" si="124"/>
        <v>85.47</v>
      </c>
      <c r="AB357" s="597"/>
      <c r="AC357" s="485">
        <f t="shared" si="125"/>
        <v>0</v>
      </c>
      <c r="AD357" s="597"/>
      <c r="AE357" s="485">
        <f t="shared" si="126"/>
        <v>0</v>
      </c>
      <c r="AF357" s="508">
        <f t="shared" si="127"/>
        <v>0</v>
      </c>
      <c r="AG357" s="508">
        <f t="shared" si="128"/>
        <v>0</v>
      </c>
      <c r="AH357" s="508">
        <f t="shared" si="129"/>
        <v>100</v>
      </c>
      <c r="AI357" s="508">
        <f t="shared" si="130"/>
        <v>0</v>
      </c>
      <c r="AJ357" s="508">
        <f t="shared" si="131"/>
        <v>14.53</v>
      </c>
      <c r="AK357" s="508">
        <f t="shared" si="132"/>
        <v>100</v>
      </c>
      <c r="AM357" s="486">
        <f t="shared" si="133"/>
        <v>14.76</v>
      </c>
      <c r="AN357" s="117">
        <f t="shared" si="138"/>
        <v>-15</v>
      </c>
      <c r="AO357" s="487">
        <f t="shared" si="134"/>
        <v>6250</v>
      </c>
      <c r="AP357" s="610"/>
    </row>
    <row r="358" spans="1:42" ht="14.25" customHeight="1">
      <c r="A358" s="701">
        <v>352</v>
      </c>
      <c r="B358" s="477"/>
      <c r="C358" s="477" t="s">
        <v>1499</v>
      </c>
      <c r="D358" s="477" t="s">
        <v>1212</v>
      </c>
      <c r="E358" s="475" t="s">
        <v>1453</v>
      </c>
      <c r="F358" s="611" t="s">
        <v>2066</v>
      </c>
      <c r="G358" s="579" t="s">
        <v>1965</v>
      </c>
      <c r="H358" s="482">
        <v>1</v>
      </c>
      <c r="I358" s="580">
        <v>40544</v>
      </c>
      <c r="J358" s="580">
        <v>37681</v>
      </c>
      <c r="K358" s="581">
        <v>31365</v>
      </c>
      <c r="L358" s="581">
        <v>2680.77</v>
      </c>
      <c r="M358" s="582"/>
      <c r="N358" s="582"/>
      <c r="O358" s="582"/>
      <c r="P358" s="582">
        <f t="shared" si="119"/>
        <v>31365</v>
      </c>
      <c r="Q358" s="582">
        <f t="shared" si="120"/>
        <v>2680.77</v>
      </c>
      <c r="R358" s="583">
        <f t="shared" si="121"/>
        <v>34200</v>
      </c>
      <c r="S358" s="668">
        <f>AP358</f>
        <v>10</v>
      </c>
      <c r="T358" s="584">
        <v>4</v>
      </c>
      <c r="U358" s="585">
        <f>IF(S358="",R358,ROUND(R358*(S358-T358)/100,0))</f>
        <v>2052</v>
      </c>
      <c r="V358" s="586">
        <f t="shared" si="123"/>
        <v>-23.45</v>
      </c>
      <c r="W358" s="611"/>
      <c r="X358" s="618">
        <f t="shared" si="136"/>
        <v>31365</v>
      </c>
      <c r="Y358" s="618"/>
      <c r="Z358" s="489">
        <v>40000</v>
      </c>
      <c r="AA358" s="361">
        <f t="shared" si="124"/>
        <v>34188.03</v>
      </c>
      <c r="AB358" s="597"/>
      <c r="AC358" s="485">
        <f t="shared" si="125"/>
        <v>0</v>
      </c>
      <c r="AD358" s="597"/>
      <c r="AE358" s="485">
        <f t="shared" si="126"/>
        <v>0</v>
      </c>
      <c r="AF358" s="508">
        <f t="shared" si="127"/>
        <v>0</v>
      </c>
      <c r="AG358" s="508">
        <f t="shared" si="128"/>
        <v>0</v>
      </c>
      <c r="AH358" s="508">
        <f t="shared" si="129"/>
        <v>40000</v>
      </c>
      <c r="AI358" s="508">
        <f t="shared" si="130"/>
        <v>0</v>
      </c>
      <c r="AJ358" s="508">
        <f t="shared" si="131"/>
        <v>5811.97</v>
      </c>
      <c r="AK358" s="508">
        <f t="shared" si="132"/>
        <v>34200</v>
      </c>
      <c r="AL358" s="116">
        <v>16</v>
      </c>
      <c r="AM358" s="486">
        <f t="shared" si="133"/>
        <v>14.76</v>
      </c>
      <c r="AN358" s="632">
        <v>2</v>
      </c>
      <c r="AO358" s="487">
        <f t="shared" si="134"/>
        <v>12</v>
      </c>
      <c r="AP358" s="669">
        <v>10</v>
      </c>
    </row>
    <row r="359" spans="1:42" ht="14.25" customHeight="1">
      <c r="A359" s="701">
        <v>353</v>
      </c>
      <c r="B359" s="477"/>
      <c r="C359" s="477" t="s">
        <v>1499</v>
      </c>
      <c r="D359" s="477" t="s">
        <v>1212</v>
      </c>
      <c r="E359" s="475" t="s">
        <v>1453</v>
      </c>
      <c r="F359" s="611" t="s">
        <v>2066</v>
      </c>
      <c r="G359" s="579" t="s">
        <v>1965</v>
      </c>
      <c r="H359" s="482">
        <v>1</v>
      </c>
      <c r="I359" s="580">
        <v>40544</v>
      </c>
      <c r="J359" s="580">
        <v>37681</v>
      </c>
      <c r="K359" s="581">
        <v>31365</v>
      </c>
      <c r="L359" s="581">
        <v>1525.64</v>
      </c>
      <c r="M359" s="582"/>
      <c r="N359" s="582"/>
      <c r="O359" s="582"/>
      <c r="P359" s="582">
        <f t="shared" si="119"/>
        <v>31365</v>
      </c>
      <c r="Q359" s="582">
        <f t="shared" si="120"/>
        <v>1525.64</v>
      </c>
      <c r="R359" s="583">
        <f t="shared" si="121"/>
        <v>34200</v>
      </c>
      <c r="S359" s="668">
        <f>AP359</f>
        <v>10</v>
      </c>
      <c r="T359" s="584">
        <v>4</v>
      </c>
      <c r="U359" s="585">
        <f>IF(S359="",R359,ROUND(R359*(S359-T359)/100,0))</f>
        <v>2052</v>
      </c>
      <c r="V359" s="586">
        <f t="shared" si="123"/>
        <v>34.5</v>
      </c>
      <c r="W359" s="611"/>
      <c r="X359" s="618">
        <f t="shared" si="136"/>
        <v>31365</v>
      </c>
      <c r="Y359" s="618"/>
      <c r="Z359" s="489">
        <v>40000</v>
      </c>
      <c r="AA359" s="361">
        <f t="shared" si="124"/>
        <v>34188.03</v>
      </c>
      <c r="AB359" s="597"/>
      <c r="AC359" s="485">
        <f t="shared" si="125"/>
        <v>0</v>
      </c>
      <c r="AD359" s="597"/>
      <c r="AE359" s="485">
        <f t="shared" si="126"/>
        <v>0</v>
      </c>
      <c r="AF359" s="508">
        <f t="shared" si="127"/>
        <v>0</v>
      </c>
      <c r="AG359" s="508">
        <f t="shared" si="128"/>
        <v>0</v>
      </c>
      <c r="AH359" s="508">
        <f t="shared" si="129"/>
        <v>40000</v>
      </c>
      <c r="AI359" s="508">
        <f t="shared" si="130"/>
        <v>0</v>
      </c>
      <c r="AJ359" s="508">
        <f t="shared" si="131"/>
        <v>5811.97</v>
      </c>
      <c r="AK359" s="508">
        <f t="shared" si="132"/>
        <v>34200</v>
      </c>
      <c r="AL359" s="116">
        <v>16</v>
      </c>
      <c r="AM359" s="486">
        <f t="shared" si="133"/>
        <v>14.76</v>
      </c>
      <c r="AN359" s="632">
        <v>2</v>
      </c>
      <c r="AO359" s="487">
        <f t="shared" si="134"/>
        <v>12</v>
      </c>
      <c r="AP359" s="669">
        <v>10</v>
      </c>
    </row>
    <row r="360" spans="1:42" ht="14.25" customHeight="1">
      <c r="A360" s="701">
        <v>354</v>
      </c>
      <c r="B360" s="477"/>
      <c r="C360" s="477" t="s">
        <v>1499</v>
      </c>
      <c r="D360" s="477" t="s">
        <v>1335</v>
      </c>
      <c r="E360" s="475" t="s">
        <v>1453</v>
      </c>
      <c r="F360" s="611" t="s">
        <v>2066</v>
      </c>
      <c r="G360" s="579" t="s">
        <v>1965</v>
      </c>
      <c r="H360" s="482">
        <v>1</v>
      </c>
      <c r="I360" s="580">
        <v>40544</v>
      </c>
      <c r="J360" s="580">
        <v>37681</v>
      </c>
      <c r="K360" s="581">
        <v>17850</v>
      </c>
      <c r="L360" s="581">
        <v>10979.4</v>
      </c>
      <c r="M360" s="582"/>
      <c r="N360" s="582"/>
      <c r="O360" s="582"/>
      <c r="P360" s="582">
        <f t="shared" si="119"/>
        <v>17850</v>
      </c>
      <c r="Q360" s="582">
        <f t="shared" si="120"/>
        <v>10979.4</v>
      </c>
      <c r="R360" s="583">
        <f t="shared" si="121"/>
        <v>18300</v>
      </c>
      <c r="S360" s="668">
        <f>AP360</f>
        <v>10</v>
      </c>
      <c r="T360" s="584">
        <v>4</v>
      </c>
      <c r="U360" s="585">
        <f>IF(S360="",R360,ROUND(R360*(S360-T360)/100,0))</f>
        <v>1098</v>
      </c>
      <c r="V360" s="586">
        <f t="shared" si="123"/>
        <v>-90</v>
      </c>
      <c r="W360" s="477"/>
      <c r="X360" s="618">
        <f t="shared" si="136"/>
        <v>17850</v>
      </c>
      <c r="Y360" s="618"/>
      <c r="Z360" s="489">
        <v>21400</v>
      </c>
      <c r="AA360" s="361">
        <f t="shared" si="124"/>
        <v>18290.599999999999</v>
      </c>
      <c r="AB360" s="597"/>
      <c r="AC360" s="485">
        <f t="shared" si="125"/>
        <v>0</v>
      </c>
      <c r="AD360" s="597"/>
      <c r="AE360" s="485">
        <f t="shared" si="126"/>
        <v>0</v>
      </c>
      <c r="AF360" s="508">
        <f t="shared" si="127"/>
        <v>0</v>
      </c>
      <c r="AG360" s="508">
        <f t="shared" si="128"/>
        <v>0</v>
      </c>
      <c r="AH360" s="508">
        <f t="shared" si="129"/>
        <v>21400</v>
      </c>
      <c r="AI360" s="508">
        <f t="shared" si="130"/>
        <v>0</v>
      </c>
      <c r="AJ360" s="508">
        <f t="shared" si="131"/>
        <v>3109.4</v>
      </c>
      <c r="AK360" s="508">
        <f t="shared" si="132"/>
        <v>18300</v>
      </c>
      <c r="AL360" s="116">
        <v>16</v>
      </c>
      <c r="AM360" s="486">
        <f t="shared" si="133"/>
        <v>14.76</v>
      </c>
      <c r="AN360" s="632">
        <v>2</v>
      </c>
      <c r="AO360" s="487">
        <f t="shared" si="134"/>
        <v>12</v>
      </c>
      <c r="AP360" s="669">
        <v>10</v>
      </c>
    </row>
    <row r="361" spans="1:42" ht="14.25" customHeight="1">
      <c r="A361" s="701">
        <v>355</v>
      </c>
      <c r="B361" s="477"/>
      <c r="C361" s="477" t="s">
        <v>1726</v>
      </c>
      <c r="D361" s="477" t="s">
        <v>1328</v>
      </c>
      <c r="E361" s="475" t="s">
        <v>1453</v>
      </c>
      <c r="F361" s="611" t="s">
        <v>2066</v>
      </c>
      <c r="G361" s="579" t="s">
        <v>1965</v>
      </c>
      <c r="H361" s="482">
        <v>1</v>
      </c>
      <c r="I361" s="580">
        <v>40544</v>
      </c>
      <c r="J361" s="580">
        <v>37681</v>
      </c>
      <c r="K361" s="581">
        <v>305227.39</v>
      </c>
      <c r="L361" s="581">
        <v>16709.400000000001</v>
      </c>
      <c r="M361" s="582"/>
      <c r="N361" s="582"/>
      <c r="O361" s="582"/>
      <c r="P361" s="582">
        <f t="shared" si="119"/>
        <v>305227.39</v>
      </c>
      <c r="Q361" s="582">
        <f t="shared" si="120"/>
        <v>16709.400000000001</v>
      </c>
      <c r="R361" s="583">
        <f t="shared" si="121"/>
        <v>200</v>
      </c>
      <c r="S361" s="584"/>
      <c r="T361" s="584">
        <v>3</v>
      </c>
      <c r="U361" s="585">
        <f>ROUND(R361*(1-T361/100),0)</f>
        <v>194</v>
      </c>
      <c r="V361" s="586">
        <f t="shared" si="123"/>
        <v>-98.84</v>
      </c>
      <c r="W361" s="611" t="s">
        <v>2074</v>
      </c>
      <c r="X361" s="618">
        <f t="shared" si="136"/>
        <v>305227.39</v>
      </c>
      <c r="Y361" s="618"/>
      <c r="Z361" s="617">
        <v>200</v>
      </c>
      <c r="AA361" s="361">
        <f t="shared" si="124"/>
        <v>170.94</v>
      </c>
      <c r="AB361" s="597"/>
      <c r="AC361" s="485">
        <f t="shared" si="125"/>
        <v>0</v>
      </c>
      <c r="AD361" s="597"/>
      <c r="AE361" s="485">
        <f t="shared" si="126"/>
        <v>0</v>
      </c>
      <c r="AF361" s="508">
        <f t="shared" si="127"/>
        <v>0</v>
      </c>
      <c r="AG361" s="508">
        <f t="shared" si="128"/>
        <v>0</v>
      </c>
      <c r="AH361" s="508">
        <f t="shared" si="129"/>
        <v>200</v>
      </c>
      <c r="AI361" s="508">
        <f t="shared" si="130"/>
        <v>0</v>
      </c>
      <c r="AJ361" s="508">
        <f t="shared" si="131"/>
        <v>29.06</v>
      </c>
      <c r="AK361" s="508">
        <f t="shared" si="132"/>
        <v>200</v>
      </c>
      <c r="AM361" s="486">
        <f t="shared" si="133"/>
        <v>14.76</v>
      </c>
      <c r="AN361" s="117">
        <f>ROUND((AL361-AM361),0)</f>
        <v>-15</v>
      </c>
      <c r="AO361" s="487">
        <f t="shared" si="134"/>
        <v>6250</v>
      </c>
      <c r="AP361" s="610"/>
    </row>
    <row r="362" spans="1:42" ht="14.25" customHeight="1">
      <c r="A362" s="701">
        <v>356</v>
      </c>
      <c r="B362" s="477"/>
      <c r="C362" s="477" t="s">
        <v>1502</v>
      </c>
      <c r="D362" s="477" t="s">
        <v>1212</v>
      </c>
      <c r="E362" s="475" t="s">
        <v>1453</v>
      </c>
      <c r="F362" s="611" t="s">
        <v>2034</v>
      </c>
      <c r="G362" s="579" t="s">
        <v>1965</v>
      </c>
      <c r="H362" s="666">
        <v>1</v>
      </c>
      <c r="I362" s="580">
        <v>40544</v>
      </c>
      <c r="J362" s="580">
        <v>37681</v>
      </c>
      <c r="K362" s="581">
        <v>195500</v>
      </c>
      <c r="L362" s="581">
        <v>72656.41</v>
      </c>
      <c r="M362" s="582"/>
      <c r="N362" s="582"/>
      <c r="O362" s="582"/>
      <c r="P362" s="582">
        <f t="shared" si="119"/>
        <v>195500</v>
      </c>
      <c r="Q362" s="582">
        <f t="shared" si="120"/>
        <v>72656.41</v>
      </c>
      <c r="R362" s="583">
        <f t="shared" si="121"/>
        <v>34200</v>
      </c>
      <c r="S362" s="668">
        <f>AP362</f>
        <v>10</v>
      </c>
      <c r="T362" s="584">
        <v>4</v>
      </c>
      <c r="U362" s="585">
        <f>IF(S362="",R362,ROUND(R362*(S362-T362)/100,0))</f>
        <v>2052</v>
      </c>
      <c r="V362" s="586">
        <f t="shared" si="123"/>
        <v>-97.18</v>
      </c>
      <c r="W362" s="611"/>
      <c r="X362" s="618">
        <f t="shared" si="136"/>
        <v>195500</v>
      </c>
      <c r="Y362" s="618"/>
      <c r="Z362" s="489">
        <v>40000</v>
      </c>
      <c r="AA362" s="361">
        <f t="shared" si="124"/>
        <v>34188.03</v>
      </c>
      <c r="AB362" s="597"/>
      <c r="AC362" s="485">
        <f t="shared" si="125"/>
        <v>0</v>
      </c>
      <c r="AD362" s="597"/>
      <c r="AE362" s="485">
        <f t="shared" si="126"/>
        <v>0</v>
      </c>
      <c r="AF362" s="508">
        <f t="shared" si="127"/>
        <v>0</v>
      </c>
      <c r="AG362" s="508">
        <f t="shared" si="128"/>
        <v>0</v>
      </c>
      <c r="AH362" s="508">
        <f t="shared" si="129"/>
        <v>40000</v>
      </c>
      <c r="AI362" s="508">
        <f t="shared" si="130"/>
        <v>0</v>
      </c>
      <c r="AJ362" s="508">
        <f t="shared" si="131"/>
        <v>5811.97</v>
      </c>
      <c r="AK362" s="508">
        <f t="shared" si="132"/>
        <v>34200</v>
      </c>
      <c r="AL362" s="116">
        <v>16</v>
      </c>
      <c r="AM362" s="486">
        <f t="shared" si="133"/>
        <v>14.76</v>
      </c>
      <c r="AN362" s="632">
        <v>2</v>
      </c>
      <c r="AO362" s="487">
        <f t="shared" si="134"/>
        <v>12</v>
      </c>
      <c r="AP362" s="669">
        <v>10</v>
      </c>
    </row>
    <row r="363" spans="1:42" ht="14.25" customHeight="1">
      <c r="A363" s="701">
        <v>357</v>
      </c>
      <c r="B363" s="477"/>
      <c r="C363" s="477" t="s">
        <v>1479</v>
      </c>
      <c r="D363" s="477" t="s">
        <v>1368</v>
      </c>
      <c r="E363" s="475" t="s">
        <v>1453</v>
      </c>
      <c r="F363" s="611" t="s">
        <v>2029</v>
      </c>
      <c r="G363" s="482" t="s">
        <v>1943</v>
      </c>
      <c r="H363" s="482">
        <v>1</v>
      </c>
      <c r="I363" s="580">
        <v>40544</v>
      </c>
      <c r="J363" s="580">
        <v>37681</v>
      </c>
      <c r="K363" s="581">
        <v>850080</v>
      </c>
      <c r="L363" s="581">
        <v>1965.81</v>
      </c>
      <c r="M363" s="582"/>
      <c r="N363" s="582"/>
      <c r="O363" s="582"/>
      <c r="P363" s="582">
        <f t="shared" si="119"/>
        <v>850080</v>
      </c>
      <c r="Q363" s="582">
        <f t="shared" si="120"/>
        <v>1965.81</v>
      </c>
      <c r="R363" s="583">
        <f t="shared" si="121"/>
        <v>8900</v>
      </c>
      <c r="S363" s="584"/>
      <c r="T363" s="584">
        <v>4</v>
      </c>
      <c r="U363" s="585">
        <f>ROUND(R363*(1-T363/100),0)</f>
        <v>8544</v>
      </c>
      <c r="V363" s="586">
        <f t="shared" si="123"/>
        <v>334.63</v>
      </c>
      <c r="W363" s="611" t="s">
        <v>2074</v>
      </c>
      <c r="X363" s="618">
        <f t="shared" si="136"/>
        <v>850080</v>
      </c>
      <c r="Y363" s="618">
        <v>8</v>
      </c>
      <c r="Z363" s="617">
        <f>Z$4*Y363</f>
        <v>10400</v>
      </c>
      <c r="AA363" s="361">
        <f t="shared" si="124"/>
        <v>8888.89</v>
      </c>
      <c r="AB363" s="597"/>
      <c r="AC363" s="485">
        <f t="shared" si="125"/>
        <v>0</v>
      </c>
      <c r="AD363" s="597"/>
      <c r="AE363" s="485">
        <f t="shared" si="126"/>
        <v>0</v>
      </c>
      <c r="AF363" s="508">
        <f t="shared" si="127"/>
        <v>0</v>
      </c>
      <c r="AG363" s="508">
        <f t="shared" si="128"/>
        <v>0</v>
      </c>
      <c r="AH363" s="508">
        <f t="shared" si="129"/>
        <v>10400</v>
      </c>
      <c r="AI363" s="508">
        <f t="shared" si="130"/>
        <v>0</v>
      </c>
      <c r="AJ363" s="508">
        <f t="shared" si="131"/>
        <v>1511.11</v>
      </c>
      <c r="AK363" s="508">
        <f t="shared" si="132"/>
        <v>8900</v>
      </c>
      <c r="AL363" s="116">
        <v>12</v>
      </c>
      <c r="AM363" s="486">
        <f t="shared" si="133"/>
        <v>14.76</v>
      </c>
      <c r="AN363" s="117">
        <f>ROUND((AL363-AM363),0)</f>
        <v>-3</v>
      </c>
      <c r="AO363" s="487">
        <f t="shared" si="134"/>
        <v>-26</v>
      </c>
      <c r="AP363" s="610"/>
    </row>
    <row r="364" spans="1:42" ht="14.25" customHeight="1">
      <c r="A364" s="701">
        <v>358</v>
      </c>
      <c r="B364" s="477"/>
      <c r="C364" s="477" t="s">
        <v>1632</v>
      </c>
      <c r="D364" s="477" t="s">
        <v>1369</v>
      </c>
      <c r="E364" s="475" t="s">
        <v>1453</v>
      </c>
      <c r="F364" s="611" t="s">
        <v>2018</v>
      </c>
      <c r="G364" s="579" t="s">
        <v>1967</v>
      </c>
      <c r="H364" s="482">
        <v>1</v>
      </c>
      <c r="I364" s="580">
        <v>40544</v>
      </c>
      <c r="J364" s="580">
        <v>37681</v>
      </c>
      <c r="K364" s="581">
        <v>23000</v>
      </c>
      <c r="L364" s="581">
        <v>1266.67</v>
      </c>
      <c r="M364" s="582"/>
      <c r="N364" s="582"/>
      <c r="O364" s="582"/>
      <c r="P364" s="582">
        <f t="shared" si="119"/>
        <v>23000</v>
      </c>
      <c r="Q364" s="582">
        <f t="shared" si="120"/>
        <v>1266.67</v>
      </c>
      <c r="R364" s="583">
        <f t="shared" si="121"/>
        <v>200</v>
      </c>
      <c r="S364" s="584"/>
      <c r="T364" s="584">
        <v>3</v>
      </c>
      <c r="U364" s="585">
        <f>ROUND(R364*(1-T364/100),0)</f>
        <v>194</v>
      </c>
      <c r="V364" s="586">
        <f t="shared" si="123"/>
        <v>-84.68</v>
      </c>
      <c r="W364" s="611" t="s">
        <v>2074</v>
      </c>
      <c r="X364" s="618">
        <f t="shared" si="136"/>
        <v>23000</v>
      </c>
      <c r="Y364" s="618"/>
      <c r="Z364" s="617">
        <v>200</v>
      </c>
      <c r="AA364" s="361">
        <f t="shared" si="124"/>
        <v>170.94</v>
      </c>
      <c r="AB364" s="597"/>
      <c r="AC364" s="485">
        <f t="shared" si="125"/>
        <v>0</v>
      </c>
      <c r="AD364" s="597"/>
      <c r="AE364" s="485">
        <f t="shared" si="126"/>
        <v>0</v>
      </c>
      <c r="AF364" s="508">
        <f t="shared" si="127"/>
        <v>0</v>
      </c>
      <c r="AG364" s="508">
        <f t="shared" si="128"/>
        <v>0</v>
      </c>
      <c r="AH364" s="508">
        <f t="shared" si="129"/>
        <v>200</v>
      </c>
      <c r="AI364" s="508">
        <f t="shared" si="130"/>
        <v>0</v>
      </c>
      <c r="AJ364" s="508">
        <f t="shared" si="131"/>
        <v>29.06</v>
      </c>
      <c r="AK364" s="508">
        <f t="shared" si="132"/>
        <v>200</v>
      </c>
      <c r="AL364" s="116">
        <v>12</v>
      </c>
      <c r="AM364" s="486">
        <f t="shared" si="133"/>
        <v>14.76</v>
      </c>
      <c r="AN364" s="117">
        <f>ROUND((AL364-AM364),0)</f>
        <v>-3</v>
      </c>
      <c r="AO364" s="487">
        <f t="shared" si="134"/>
        <v>-26</v>
      </c>
      <c r="AP364" s="610"/>
    </row>
    <row r="365" spans="1:42" ht="14.25" customHeight="1">
      <c r="A365" s="701">
        <v>359</v>
      </c>
      <c r="B365" s="477"/>
      <c r="C365" s="477" t="s">
        <v>1681</v>
      </c>
      <c r="D365" s="477" t="s">
        <v>1370</v>
      </c>
      <c r="E365" s="475" t="s">
        <v>1453</v>
      </c>
      <c r="F365" s="477"/>
      <c r="G365" s="482" t="s">
        <v>1943</v>
      </c>
      <c r="H365" s="482">
        <v>1</v>
      </c>
      <c r="I365" s="580">
        <v>40544</v>
      </c>
      <c r="J365" s="580">
        <v>37681</v>
      </c>
      <c r="K365" s="581">
        <v>14820</v>
      </c>
      <c r="L365" s="581">
        <v>3398.29</v>
      </c>
      <c r="M365" s="582"/>
      <c r="N365" s="582"/>
      <c r="O365" s="582"/>
      <c r="P365" s="582">
        <f t="shared" si="119"/>
        <v>14820</v>
      </c>
      <c r="Q365" s="582">
        <f t="shared" si="120"/>
        <v>3398.29</v>
      </c>
      <c r="R365" s="583">
        <f t="shared" si="121"/>
        <v>200</v>
      </c>
      <c r="S365" s="584"/>
      <c r="T365" s="584">
        <v>3</v>
      </c>
      <c r="U365" s="585">
        <f>ROUND(R365*(1-T365/100),0)</f>
        <v>194</v>
      </c>
      <c r="V365" s="586">
        <f t="shared" si="123"/>
        <v>-94.29</v>
      </c>
      <c r="W365" s="611" t="s">
        <v>2074</v>
      </c>
      <c r="X365" s="618">
        <f t="shared" si="136"/>
        <v>14820</v>
      </c>
      <c r="Y365" s="618"/>
      <c r="Z365" s="617">
        <v>200</v>
      </c>
      <c r="AA365" s="361">
        <f t="shared" si="124"/>
        <v>170.94</v>
      </c>
      <c r="AB365" s="597"/>
      <c r="AC365" s="485">
        <f t="shared" si="125"/>
        <v>0</v>
      </c>
      <c r="AD365" s="597"/>
      <c r="AE365" s="485">
        <f t="shared" si="126"/>
        <v>0</v>
      </c>
      <c r="AF365" s="508">
        <f t="shared" si="127"/>
        <v>0</v>
      </c>
      <c r="AG365" s="508">
        <f t="shared" si="128"/>
        <v>0</v>
      </c>
      <c r="AH365" s="508">
        <f t="shared" si="129"/>
        <v>200</v>
      </c>
      <c r="AI365" s="508">
        <f t="shared" si="130"/>
        <v>0</v>
      </c>
      <c r="AJ365" s="508">
        <f t="shared" si="131"/>
        <v>29.06</v>
      </c>
      <c r="AK365" s="508">
        <f t="shared" si="132"/>
        <v>200</v>
      </c>
      <c r="AL365" s="116">
        <v>8</v>
      </c>
      <c r="AM365" s="486">
        <f t="shared" si="133"/>
        <v>14.76</v>
      </c>
      <c r="AN365" s="117">
        <f>ROUND((AL365-AM365),0)</f>
        <v>-7</v>
      </c>
      <c r="AO365" s="487">
        <f t="shared" si="134"/>
        <v>-90</v>
      </c>
      <c r="AP365" s="610"/>
    </row>
    <row r="366" spans="1:42" ht="14.25" customHeight="1">
      <c r="A366" s="701">
        <v>360</v>
      </c>
      <c r="B366" s="477"/>
      <c r="C366" s="477" t="s">
        <v>1597</v>
      </c>
      <c r="D366" s="477" t="s">
        <v>1371</v>
      </c>
      <c r="E366" s="475" t="s">
        <v>1453</v>
      </c>
      <c r="F366" s="477"/>
      <c r="G366" s="482" t="s">
        <v>1943</v>
      </c>
      <c r="H366" s="482">
        <v>1</v>
      </c>
      <c r="I366" s="580">
        <v>40544</v>
      </c>
      <c r="J366" s="580">
        <v>37681</v>
      </c>
      <c r="K366" s="581">
        <v>78945</v>
      </c>
      <c r="L366" s="581">
        <v>1230.77</v>
      </c>
      <c r="M366" s="582"/>
      <c r="N366" s="582"/>
      <c r="O366" s="582"/>
      <c r="P366" s="582">
        <f t="shared" si="119"/>
        <v>78945</v>
      </c>
      <c r="Q366" s="582">
        <f t="shared" si="120"/>
        <v>1230.77</v>
      </c>
      <c r="R366" s="583">
        <f t="shared" si="121"/>
        <v>80900</v>
      </c>
      <c r="S366" s="668">
        <f>AP366</f>
        <v>10</v>
      </c>
      <c r="T366" s="584">
        <v>3</v>
      </c>
      <c r="U366" s="585">
        <f>IF(S366="",R366,ROUND(R366*(S366-T366)/100,0))</f>
        <v>5663</v>
      </c>
      <c r="V366" s="586">
        <f t="shared" si="123"/>
        <v>360.12</v>
      </c>
      <c r="W366" s="477"/>
      <c r="X366" s="618">
        <f t="shared" si="136"/>
        <v>78945</v>
      </c>
      <c r="Y366" s="618"/>
      <c r="Z366" s="489">
        <v>94700</v>
      </c>
      <c r="AA366" s="361">
        <f t="shared" si="124"/>
        <v>80940.17</v>
      </c>
      <c r="AB366" s="597"/>
      <c r="AC366" s="485">
        <f t="shared" si="125"/>
        <v>0</v>
      </c>
      <c r="AD366" s="597"/>
      <c r="AE366" s="485">
        <f t="shared" si="126"/>
        <v>0</v>
      </c>
      <c r="AF366" s="508">
        <f t="shared" si="127"/>
        <v>0</v>
      </c>
      <c r="AG366" s="508">
        <f t="shared" si="128"/>
        <v>0</v>
      </c>
      <c r="AH366" s="508">
        <f t="shared" si="129"/>
        <v>94700</v>
      </c>
      <c r="AI366" s="508">
        <f t="shared" si="130"/>
        <v>0</v>
      </c>
      <c r="AJ366" s="508">
        <f t="shared" si="131"/>
        <v>13759.83</v>
      </c>
      <c r="AK366" s="508">
        <f t="shared" si="132"/>
        <v>80900</v>
      </c>
      <c r="AL366" s="116">
        <v>12</v>
      </c>
      <c r="AM366" s="486">
        <f t="shared" si="133"/>
        <v>14.76</v>
      </c>
      <c r="AN366" s="632">
        <v>2</v>
      </c>
      <c r="AO366" s="487">
        <f t="shared" si="134"/>
        <v>12</v>
      </c>
      <c r="AP366" s="669">
        <v>10</v>
      </c>
    </row>
    <row r="367" spans="1:42" ht="14.25" customHeight="1">
      <c r="A367" s="701">
        <v>361</v>
      </c>
      <c r="B367" s="477"/>
      <c r="C367" s="477" t="s">
        <v>1628</v>
      </c>
      <c r="D367" s="477" t="s">
        <v>1372</v>
      </c>
      <c r="E367" s="475" t="s">
        <v>1453</v>
      </c>
      <c r="F367" s="477"/>
      <c r="G367" s="482" t="s">
        <v>1943</v>
      </c>
      <c r="H367" s="482">
        <v>1</v>
      </c>
      <c r="I367" s="580">
        <v>40544</v>
      </c>
      <c r="J367" s="580">
        <v>37681</v>
      </c>
      <c r="K367" s="581">
        <v>14400</v>
      </c>
      <c r="L367" s="581">
        <v>4270.28</v>
      </c>
      <c r="M367" s="582"/>
      <c r="N367" s="582"/>
      <c r="O367" s="582"/>
      <c r="P367" s="582">
        <f t="shared" si="119"/>
        <v>14400</v>
      </c>
      <c r="Q367" s="582">
        <f t="shared" si="120"/>
        <v>4270.28</v>
      </c>
      <c r="R367" s="583">
        <f t="shared" si="121"/>
        <v>0</v>
      </c>
      <c r="S367" s="584"/>
      <c r="T367" s="584"/>
      <c r="U367" s="585">
        <f>ROUND(R367*(1-T367/100),0)</f>
        <v>0</v>
      </c>
      <c r="V367" s="586">
        <f t="shared" si="123"/>
        <v>-100</v>
      </c>
      <c r="W367" s="611" t="s">
        <v>2074</v>
      </c>
      <c r="X367" s="618">
        <f t="shared" si="136"/>
        <v>14400</v>
      </c>
      <c r="Y367" s="618"/>
      <c r="Z367" s="617">
        <v>0</v>
      </c>
      <c r="AA367" s="361">
        <f t="shared" si="124"/>
        <v>0</v>
      </c>
      <c r="AB367" s="597"/>
      <c r="AC367" s="485">
        <f t="shared" si="125"/>
        <v>0</v>
      </c>
      <c r="AD367" s="597"/>
      <c r="AE367" s="485">
        <f t="shared" si="126"/>
        <v>0</v>
      </c>
      <c r="AF367" s="508">
        <f t="shared" si="127"/>
        <v>0</v>
      </c>
      <c r="AG367" s="508">
        <f t="shared" si="128"/>
        <v>0</v>
      </c>
      <c r="AH367" s="508">
        <f t="shared" si="129"/>
        <v>0</v>
      </c>
      <c r="AI367" s="508">
        <f t="shared" si="130"/>
        <v>0</v>
      </c>
      <c r="AJ367" s="508">
        <f t="shared" si="131"/>
        <v>0</v>
      </c>
      <c r="AK367" s="508">
        <f t="shared" si="132"/>
        <v>0</v>
      </c>
      <c r="AL367" s="116">
        <v>6</v>
      </c>
      <c r="AM367" s="486">
        <f t="shared" si="133"/>
        <v>14.76</v>
      </c>
      <c r="AN367" s="117">
        <f>ROUND((AL367-AM367),0)</f>
        <v>-9</v>
      </c>
      <c r="AO367" s="487">
        <f t="shared" si="134"/>
        <v>-156</v>
      </c>
      <c r="AP367" s="610"/>
    </row>
    <row r="368" spans="1:42" ht="14.25" customHeight="1">
      <c r="A368" s="701">
        <v>362</v>
      </c>
      <c r="B368" s="477"/>
      <c r="C368" s="477" t="s">
        <v>1727</v>
      </c>
      <c r="D368" s="477" t="s">
        <v>1373</v>
      </c>
      <c r="E368" s="475" t="s">
        <v>1453</v>
      </c>
      <c r="F368" s="611" t="s">
        <v>2022</v>
      </c>
      <c r="G368" s="579" t="s">
        <v>1968</v>
      </c>
      <c r="H368" s="482">
        <v>1</v>
      </c>
      <c r="I368" s="580">
        <v>40544</v>
      </c>
      <c r="J368" s="580">
        <v>37681</v>
      </c>
      <c r="K368" s="581">
        <v>519200</v>
      </c>
      <c r="L368" s="581">
        <v>35958.97</v>
      </c>
      <c r="M368" s="582"/>
      <c r="N368" s="582"/>
      <c r="O368" s="582"/>
      <c r="P368" s="582">
        <f t="shared" si="119"/>
        <v>519200</v>
      </c>
      <c r="Q368" s="582">
        <f t="shared" si="120"/>
        <v>35958.97</v>
      </c>
      <c r="R368" s="583">
        <f t="shared" si="121"/>
        <v>0</v>
      </c>
      <c r="S368" s="584"/>
      <c r="T368" s="584"/>
      <c r="U368" s="585">
        <f>ROUND(R368*(1-T368/100),0)</f>
        <v>0</v>
      </c>
      <c r="V368" s="586">
        <f t="shared" si="123"/>
        <v>-100</v>
      </c>
      <c r="W368" s="611" t="s">
        <v>2074</v>
      </c>
      <c r="X368" s="618">
        <f t="shared" si="136"/>
        <v>519200</v>
      </c>
      <c r="Y368" s="618"/>
      <c r="Z368" s="617">
        <v>0</v>
      </c>
      <c r="AA368" s="361">
        <f t="shared" si="124"/>
        <v>0</v>
      </c>
      <c r="AB368" s="597"/>
      <c r="AC368" s="485">
        <f t="shared" si="125"/>
        <v>0</v>
      </c>
      <c r="AD368" s="597"/>
      <c r="AE368" s="485">
        <f t="shared" si="126"/>
        <v>0</v>
      </c>
      <c r="AF368" s="508">
        <f t="shared" si="127"/>
        <v>0</v>
      </c>
      <c r="AG368" s="508">
        <f t="shared" si="128"/>
        <v>0</v>
      </c>
      <c r="AH368" s="508">
        <f t="shared" si="129"/>
        <v>0</v>
      </c>
      <c r="AI368" s="508">
        <f t="shared" si="130"/>
        <v>0</v>
      </c>
      <c r="AJ368" s="508">
        <f t="shared" si="131"/>
        <v>0</v>
      </c>
      <c r="AK368" s="508">
        <f t="shared" si="132"/>
        <v>0</v>
      </c>
      <c r="AM368" s="486">
        <f t="shared" si="133"/>
        <v>14.76</v>
      </c>
      <c r="AN368" s="117">
        <f>ROUND((AL368-AM368),0)</f>
        <v>-15</v>
      </c>
      <c r="AO368" s="487">
        <f t="shared" si="134"/>
        <v>6250</v>
      </c>
      <c r="AP368" s="610"/>
    </row>
    <row r="369" spans="1:42" ht="14.25" customHeight="1">
      <c r="A369" s="701">
        <v>363</v>
      </c>
      <c r="B369" s="477"/>
      <c r="C369" s="477" t="s">
        <v>1563</v>
      </c>
      <c r="D369" s="477" t="s">
        <v>1374</v>
      </c>
      <c r="E369" s="475" t="s">
        <v>1453</v>
      </c>
      <c r="F369" s="611" t="s">
        <v>2023</v>
      </c>
      <c r="G369" s="482" t="s">
        <v>1943</v>
      </c>
      <c r="H369" s="482">
        <v>1</v>
      </c>
      <c r="I369" s="580">
        <v>40544</v>
      </c>
      <c r="J369" s="580">
        <v>37681</v>
      </c>
      <c r="K369" s="581">
        <v>420720</v>
      </c>
      <c r="L369" s="581">
        <v>37896.92</v>
      </c>
      <c r="M369" s="582"/>
      <c r="N369" s="582"/>
      <c r="O369" s="582"/>
      <c r="P369" s="582">
        <f t="shared" si="119"/>
        <v>420720</v>
      </c>
      <c r="Q369" s="582">
        <f t="shared" si="120"/>
        <v>37896.92</v>
      </c>
      <c r="R369" s="583">
        <f t="shared" si="121"/>
        <v>431600</v>
      </c>
      <c r="S369" s="668">
        <f>AP369</f>
        <v>10</v>
      </c>
      <c r="T369" s="584">
        <v>5</v>
      </c>
      <c r="U369" s="585">
        <f>IF(S369="",R369,ROUND(R369*(S369-T369)/100,0))</f>
        <v>21580</v>
      </c>
      <c r="V369" s="586">
        <f t="shared" si="123"/>
        <v>-43.06</v>
      </c>
      <c r="W369" s="611"/>
      <c r="X369" s="618">
        <f t="shared" ref="X369:X376" si="139">P369/H369</f>
        <v>420720</v>
      </c>
      <c r="Y369" s="618"/>
      <c r="Z369" s="489">
        <v>505000</v>
      </c>
      <c r="AA369" s="361">
        <f t="shared" si="124"/>
        <v>431623.93</v>
      </c>
      <c r="AB369" s="597"/>
      <c r="AC369" s="485">
        <f t="shared" si="125"/>
        <v>0</v>
      </c>
      <c r="AD369" s="597"/>
      <c r="AE369" s="485">
        <f t="shared" si="126"/>
        <v>0</v>
      </c>
      <c r="AF369" s="508">
        <f t="shared" si="127"/>
        <v>0</v>
      </c>
      <c r="AG369" s="508">
        <f t="shared" si="128"/>
        <v>0</v>
      </c>
      <c r="AH369" s="508">
        <f t="shared" si="129"/>
        <v>505000</v>
      </c>
      <c r="AI369" s="508">
        <f t="shared" si="130"/>
        <v>0</v>
      </c>
      <c r="AJ369" s="508">
        <f t="shared" si="131"/>
        <v>73376.070000000007</v>
      </c>
      <c r="AK369" s="508">
        <f t="shared" si="132"/>
        <v>431600</v>
      </c>
      <c r="AL369" s="116">
        <v>12</v>
      </c>
      <c r="AM369" s="486">
        <f t="shared" si="133"/>
        <v>14.76</v>
      </c>
      <c r="AN369" s="632">
        <v>2</v>
      </c>
      <c r="AO369" s="487">
        <f t="shared" si="134"/>
        <v>12</v>
      </c>
      <c r="AP369" s="669">
        <v>10</v>
      </c>
    </row>
    <row r="370" spans="1:42" ht="14.25" customHeight="1">
      <c r="A370" s="701">
        <v>364</v>
      </c>
      <c r="B370" s="477"/>
      <c r="C370" s="477" t="s">
        <v>1554</v>
      </c>
      <c r="D370" s="477" t="s">
        <v>1375</v>
      </c>
      <c r="E370" s="475" t="s">
        <v>1453</v>
      </c>
      <c r="F370" s="611" t="s">
        <v>2024</v>
      </c>
      <c r="G370" s="579" t="s">
        <v>2077</v>
      </c>
      <c r="H370" s="482">
        <v>1</v>
      </c>
      <c r="I370" s="580">
        <v>40544</v>
      </c>
      <c r="J370" s="580">
        <v>37681</v>
      </c>
      <c r="K370" s="581">
        <v>443394</v>
      </c>
      <c r="L370" s="581">
        <v>947.29</v>
      </c>
      <c r="M370" s="582"/>
      <c r="N370" s="582"/>
      <c r="O370" s="582"/>
      <c r="P370" s="582">
        <f t="shared" si="119"/>
        <v>443394</v>
      </c>
      <c r="Q370" s="582">
        <f t="shared" si="120"/>
        <v>947.29</v>
      </c>
      <c r="R370" s="583">
        <f t="shared" si="121"/>
        <v>423100</v>
      </c>
      <c r="S370" s="668">
        <f>AP370</f>
        <v>10</v>
      </c>
      <c r="T370" s="584">
        <v>5</v>
      </c>
      <c r="U370" s="585">
        <f>IF(S370="",R370,ROUND(R370*(S370-T370)/100,0))</f>
        <v>21155</v>
      </c>
      <c r="V370" s="586">
        <f t="shared" si="123"/>
        <v>2133.21</v>
      </c>
      <c r="W370" s="611"/>
      <c r="X370" s="618">
        <f t="shared" si="139"/>
        <v>443394</v>
      </c>
      <c r="Y370" s="618"/>
      <c r="Z370" s="489">
        <v>495000</v>
      </c>
      <c r="AA370" s="361">
        <f t="shared" si="124"/>
        <v>423076.92</v>
      </c>
      <c r="AB370" s="597"/>
      <c r="AC370" s="485">
        <f t="shared" si="125"/>
        <v>0</v>
      </c>
      <c r="AD370" s="597"/>
      <c r="AE370" s="485">
        <f t="shared" si="126"/>
        <v>0</v>
      </c>
      <c r="AF370" s="508">
        <f t="shared" si="127"/>
        <v>0</v>
      </c>
      <c r="AG370" s="508">
        <f t="shared" si="128"/>
        <v>0</v>
      </c>
      <c r="AH370" s="508">
        <f t="shared" si="129"/>
        <v>495000</v>
      </c>
      <c r="AI370" s="508">
        <f t="shared" si="130"/>
        <v>0</v>
      </c>
      <c r="AJ370" s="508">
        <f t="shared" si="131"/>
        <v>71923.08</v>
      </c>
      <c r="AK370" s="508">
        <f t="shared" si="132"/>
        <v>423100</v>
      </c>
      <c r="AL370" s="116">
        <v>12</v>
      </c>
      <c r="AM370" s="486">
        <f t="shared" si="133"/>
        <v>14.76</v>
      </c>
      <c r="AN370" s="632">
        <v>2</v>
      </c>
      <c r="AO370" s="487">
        <f t="shared" si="134"/>
        <v>12</v>
      </c>
      <c r="AP370" s="669">
        <v>10</v>
      </c>
    </row>
    <row r="371" spans="1:42" ht="14.25" customHeight="1">
      <c r="A371" s="701">
        <v>365</v>
      </c>
      <c r="B371" s="477"/>
      <c r="C371" s="477" t="s">
        <v>1485</v>
      </c>
      <c r="D371" s="477" t="s">
        <v>1376</v>
      </c>
      <c r="E371" s="475" t="s">
        <v>1453</v>
      </c>
      <c r="F371" s="477"/>
      <c r="G371" s="482" t="s">
        <v>1943</v>
      </c>
      <c r="H371" s="482">
        <v>1</v>
      </c>
      <c r="I371" s="580">
        <v>40544</v>
      </c>
      <c r="J371" s="580">
        <v>37681</v>
      </c>
      <c r="K371" s="581">
        <v>11083.33</v>
      </c>
      <c r="L371" s="581">
        <v>1174.6400000000001</v>
      </c>
      <c r="M371" s="582"/>
      <c r="N371" s="582"/>
      <c r="O371" s="582"/>
      <c r="P371" s="582">
        <f t="shared" si="119"/>
        <v>11083.33</v>
      </c>
      <c r="Q371" s="582">
        <f t="shared" si="120"/>
        <v>1174.6400000000001</v>
      </c>
      <c r="R371" s="583">
        <f t="shared" si="121"/>
        <v>200</v>
      </c>
      <c r="S371" s="584"/>
      <c r="T371" s="584">
        <v>3</v>
      </c>
      <c r="U371" s="585">
        <f t="shared" ref="U371:U377" si="140">ROUND(R371*(1-T371/100),0)</f>
        <v>194</v>
      </c>
      <c r="V371" s="586">
        <f t="shared" si="123"/>
        <v>-83.48</v>
      </c>
      <c r="W371" s="611" t="s">
        <v>2074</v>
      </c>
      <c r="X371" s="618">
        <f t="shared" si="139"/>
        <v>11083.33</v>
      </c>
      <c r="Y371" s="618"/>
      <c r="Z371" s="617">
        <v>200</v>
      </c>
      <c r="AA371" s="361">
        <f t="shared" si="124"/>
        <v>170.94</v>
      </c>
      <c r="AB371" s="597"/>
      <c r="AC371" s="485">
        <f t="shared" si="125"/>
        <v>0</v>
      </c>
      <c r="AD371" s="597"/>
      <c r="AE371" s="485">
        <f t="shared" si="126"/>
        <v>0</v>
      </c>
      <c r="AF371" s="508">
        <f t="shared" si="127"/>
        <v>0</v>
      </c>
      <c r="AG371" s="508">
        <f t="shared" si="128"/>
        <v>0</v>
      </c>
      <c r="AH371" s="508">
        <f t="shared" si="129"/>
        <v>200</v>
      </c>
      <c r="AI371" s="508">
        <f t="shared" si="130"/>
        <v>0</v>
      </c>
      <c r="AJ371" s="508">
        <f t="shared" si="131"/>
        <v>29.06</v>
      </c>
      <c r="AK371" s="508">
        <f t="shared" si="132"/>
        <v>200</v>
      </c>
      <c r="AL371" s="116">
        <v>8</v>
      </c>
      <c r="AM371" s="486">
        <f t="shared" si="133"/>
        <v>14.76</v>
      </c>
      <c r="AN371" s="117">
        <f t="shared" ref="AN371:AN377" si="141">ROUND((AL371-AM371),0)</f>
        <v>-7</v>
      </c>
      <c r="AO371" s="487">
        <f t="shared" si="134"/>
        <v>-90</v>
      </c>
      <c r="AP371" s="610"/>
    </row>
    <row r="372" spans="1:42" ht="14.25" customHeight="1">
      <c r="A372" s="701">
        <v>366</v>
      </c>
      <c r="B372" s="477"/>
      <c r="C372" s="477" t="s">
        <v>1682</v>
      </c>
      <c r="D372" s="477" t="s">
        <v>1377</v>
      </c>
      <c r="E372" s="475" t="s">
        <v>1453</v>
      </c>
      <c r="F372" s="611" t="s">
        <v>2072</v>
      </c>
      <c r="G372" s="579" t="s">
        <v>1920</v>
      </c>
      <c r="H372" s="482">
        <v>1</v>
      </c>
      <c r="I372" s="580">
        <v>40544</v>
      </c>
      <c r="J372" s="580">
        <v>37681</v>
      </c>
      <c r="K372" s="581">
        <v>13743.34</v>
      </c>
      <c r="L372" s="581">
        <v>1174.6400000000001</v>
      </c>
      <c r="M372" s="582"/>
      <c r="N372" s="582"/>
      <c r="O372" s="582"/>
      <c r="P372" s="582">
        <f t="shared" si="119"/>
        <v>13743.34</v>
      </c>
      <c r="Q372" s="582">
        <f t="shared" si="120"/>
        <v>1174.6400000000001</v>
      </c>
      <c r="R372" s="583">
        <f t="shared" si="121"/>
        <v>0</v>
      </c>
      <c r="S372" s="584"/>
      <c r="T372" s="584"/>
      <c r="U372" s="585">
        <f t="shared" si="140"/>
        <v>0</v>
      </c>
      <c r="V372" s="586">
        <f t="shared" si="123"/>
        <v>-100</v>
      </c>
      <c r="W372" s="611" t="s">
        <v>2074</v>
      </c>
      <c r="X372" s="618">
        <f t="shared" si="139"/>
        <v>13743.34</v>
      </c>
      <c r="Y372" s="618"/>
      <c r="Z372" s="617">
        <v>0</v>
      </c>
      <c r="AA372" s="361">
        <f t="shared" si="124"/>
        <v>0</v>
      </c>
      <c r="AB372" s="597"/>
      <c r="AC372" s="485">
        <f t="shared" si="125"/>
        <v>0</v>
      </c>
      <c r="AD372" s="597"/>
      <c r="AE372" s="485">
        <f t="shared" si="126"/>
        <v>0</v>
      </c>
      <c r="AF372" s="508">
        <f t="shared" si="127"/>
        <v>0</v>
      </c>
      <c r="AG372" s="508">
        <f t="shared" si="128"/>
        <v>0</v>
      </c>
      <c r="AH372" s="508">
        <f t="shared" si="129"/>
        <v>0</v>
      </c>
      <c r="AI372" s="508">
        <f t="shared" si="130"/>
        <v>0</v>
      </c>
      <c r="AJ372" s="508">
        <f t="shared" si="131"/>
        <v>0</v>
      </c>
      <c r="AK372" s="508">
        <f t="shared" si="132"/>
        <v>0</v>
      </c>
      <c r="AM372" s="486">
        <f t="shared" si="133"/>
        <v>14.76</v>
      </c>
      <c r="AN372" s="117">
        <f t="shared" si="141"/>
        <v>-15</v>
      </c>
      <c r="AO372" s="487">
        <f t="shared" si="134"/>
        <v>6250</v>
      </c>
      <c r="AP372" s="610"/>
    </row>
    <row r="373" spans="1:42" ht="14.25" customHeight="1">
      <c r="A373" s="701">
        <v>367</v>
      </c>
      <c r="B373" s="477"/>
      <c r="C373" s="477" t="s">
        <v>1682</v>
      </c>
      <c r="D373" s="477" t="s">
        <v>1377</v>
      </c>
      <c r="E373" s="475" t="s">
        <v>1453</v>
      </c>
      <c r="F373" s="611" t="s">
        <v>2072</v>
      </c>
      <c r="G373" s="579" t="s">
        <v>1920</v>
      </c>
      <c r="H373" s="482">
        <v>1</v>
      </c>
      <c r="I373" s="580">
        <v>40544</v>
      </c>
      <c r="J373" s="580">
        <v>37681</v>
      </c>
      <c r="K373" s="581">
        <v>13743.33</v>
      </c>
      <c r="L373" s="581">
        <v>1174.6400000000001</v>
      </c>
      <c r="M373" s="582"/>
      <c r="N373" s="582"/>
      <c r="O373" s="582"/>
      <c r="P373" s="582">
        <f t="shared" si="119"/>
        <v>13743.33</v>
      </c>
      <c r="Q373" s="582">
        <f t="shared" si="120"/>
        <v>1174.6400000000001</v>
      </c>
      <c r="R373" s="583">
        <f t="shared" si="121"/>
        <v>0</v>
      </c>
      <c r="S373" s="584"/>
      <c r="T373" s="584"/>
      <c r="U373" s="585">
        <f t="shared" si="140"/>
        <v>0</v>
      </c>
      <c r="V373" s="586">
        <f t="shared" si="123"/>
        <v>-100</v>
      </c>
      <c r="W373" s="611" t="s">
        <v>2074</v>
      </c>
      <c r="X373" s="618">
        <f t="shared" si="139"/>
        <v>13743.33</v>
      </c>
      <c r="Y373" s="618"/>
      <c r="Z373" s="617">
        <v>0</v>
      </c>
      <c r="AA373" s="361">
        <f t="shared" si="124"/>
        <v>0</v>
      </c>
      <c r="AB373" s="597"/>
      <c r="AC373" s="485">
        <f t="shared" si="125"/>
        <v>0</v>
      </c>
      <c r="AD373" s="597"/>
      <c r="AE373" s="485">
        <f t="shared" si="126"/>
        <v>0</v>
      </c>
      <c r="AF373" s="508">
        <f t="shared" si="127"/>
        <v>0</v>
      </c>
      <c r="AG373" s="508">
        <f t="shared" si="128"/>
        <v>0</v>
      </c>
      <c r="AH373" s="508">
        <f t="shared" si="129"/>
        <v>0</v>
      </c>
      <c r="AI373" s="508">
        <f t="shared" si="130"/>
        <v>0</v>
      </c>
      <c r="AJ373" s="508">
        <f t="shared" si="131"/>
        <v>0</v>
      </c>
      <c r="AK373" s="508">
        <f t="shared" si="132"/>
        <v>0</v>
      </c>
      <c r="AM373" s="486">
        <f t="shared" si="133"/>
        <v>14.76</v>
      </c>
      <c r="AN373" s="117">
        <f t="shared" si="141"/>
        <v>-15</v>
      </c>
      <c r="AO373" s="487">
        <f t="shared" si="134"/>
        <v>6250</v>
      </c>
      <c r="AP373" s="610"/>
    </row>
    <row r="374" spans="1:42" ht="14.25" customHeight="1">
      <c r="A374" s="701">
        <v>368</v>
      </c>
      <c r="B374" s="477"/>
      <c r="C374" s="477" t="s">
        <v>1682</v>
      </c>
      <c r="D374" s="477" t="s">
        <v>1377</v>
      </c>
      <c r="E374" s="475" t="s">
        <v>1453</v>
      </c>
      <c r="F374" s="611" t="s">
        <v>2072</v>
      </c>
      <c r="G374" s="579" t="s">
        <v>1920</v>
      </c>
      <c r="H374" s="482">
        <v>1</v>
      </c>
      <c r="I374" s="580">
        <v>40544</v>
      </c>
      <c r="J374" s="580">
        <v>37681</v>
      </c>
      <c r="K374" s="581">
        <v>13743.33</v>
      </c>
      <c r="L374" s="581">
        <v>1420.94</v>
      </c>
      <c r="M374" s="582"/>
      <c r="N374" s="582"/>
      <c r="O374" s="582"/>
      <c r="P374" s="582">
        <f t="shared" si="119"/>
        <v>13743.33</v>
      </c>
      <c r="Q374" s="582">
        <f t="shared" si="120"/>
        <v>1420.94</v>
      </c>
      <c r="R374" s="583">
        <f t="shared" si="121"/>
        <v>0</v>
      </c>
      <c r="S374" s="584"/>
      <c r="T374" s="584"/>
      <c r="U374" s="585">
        <f t="shared" si="140"/>
        <v>0</v>
      </c>
      <c r="V374" s="586">
        <f t="shared" si="123"/>
        <v>-100</v>
      </c>
      <c r="W374" s="611" t="s">
        <v>2074</v>
      </c>
      <c r="X374" s="618">
        <f t="shared" si="139"/>
        <v>13743.33</v>
      </c>
      <c r="Y374" s="618"/>
      <c r="Z374" s="617">
        <v>0</v>
      </c>
      <c r="AA374" s="361">
        <f t="shared" si="124"/>
        <v>0</v>
      </c>
      <c r="AB374" s="597"/>
      <c r="AC374" s="485">
        <f t="shared" si="125"/>
        <v>0</v>
      </c>
      <c r="AD374" s="597"/>
      <c r="AE374" s="485">
        <f t="shared" si="126"/>
        <v>0</v>
      </c>
      <c r="AF374" s="508">
        <f t="shared" si="127"/>
        <v>0</v>
      </c>
      <c r="AG374" s="508">
        <f t="shared" si="128"/>
        <v>0</v>
      </c>
      <c r="AH374" s="508">
        <f t="shared" si="129"/>
        <v>0</v>
      </c>
      <c r="AI374" s="508">
        <f t="shared" si="130"/>
        <v>0</v>
      </c>
      <c r="AJ374" s="508">
        <f t="shared" si="131"/>
        <v>0</v>
      </c>
      <c r="AK374" s="508">
        <f t="shared" si="132"/>
        <v>0</v>
      </c>
      <c r="AM374" s="486">
        <f t="shared" si="133"/>
        <v>14.76</v>
      </c>
      <c r="AN374" s="117">
        <f t="shared" si="141"/>
        <v>-15</v>
      </c>
      <c r="AO374" s="487">
        <f t="shared" si="134"/>
        <v>6250</v>
      </c>
      <c r="AP374" s="610"/>
    </row>
    <row r="375" spans="1:42" ht="14.25" customHeight="1">
      <c r="A375" s="701">
        <v>369</v>
      </c>
      <c r="B375" s="477"/>
      <c r="C375" s="477" t="s">
        <v>1660</v>
      </c>
      <c r="D375" s="477" t="s">
        <v>1372</v>
      </c>
      <c r="E375" s="475" t="s">
        <v>1453</v>
      </c>
      <c r="F375" s="477"/>
      <c r="G375" s="482" t="s">
        <v>1946</v>
      </c>
      <c r="H375" s="482">
        <v>1</v>
      </c>
      <c r="I375" s="580">
        <v>40544</v>
      </c>
      <c r="J375" s="580">
        <v>37681</v>
      </c>
      <c r="K375" s="581">
        <v>16625</v>
      </c>
      <c r="L375" s="581">
        <v>1420.94</v>
      </c>
      <c r="M375" s="582"/>
      <c r="N375" s="582"/>
      <c r="O375" s="582"/>
      <c r="P375" s="582">
        <f t="shared" si="119"/>
        <v>16625</v>
      </c>
      <c r="Q375" s="582">
        <f t="shared" si="120"/>
        <v>1420.94</v>
      </c>
      <c r="R375" s="583">
        <f t="shared" si="121"/>
        <v>0</v>
      </c>
      <c r="S375" s="584"/>
      <c r="T375" s="584"/>
      <c r="U375" s="585">
        <f t="shared" si="140"/>
        <v>0</v>
      </c>
      <c r="V375" s="586">
        <f t="shared" si="123"/>
        <v>-100</v>
      </c>
      <c r="W375" s="611" t="s">
        <v>2074</v>
      </c>
      <c r="X375" s="618">
        <f t="shared" si="139"/>
        <v>16625</v>
      </c>
      <c r="Y375" s="618"/>
      <c r="Z375" s="617">
        <v>0</v>
      </c>
      <c r="AA375" s="361">
        <f t="shared" si="124"/>
        <v>0</v>
      </c>
      <c r="AB375" s="597"/>
      <c r="AC375" s="485">
        <f t="shared" si="125"/>
        <v>0</v>
      </c>
      <c r="AD375" s="597"/>
      <c r="AE375" s="485">
        <f t="shared" si="126"/>
        <v>0</v>
      </c>
      <c r="AF375" s="508">
        <f t="shared" si="127"/>
        <v>0</v>
      </c>
      <c r="AG375" s="508">
        <f t="shared" si="128"/>
        <v>0</v>
      </c>
      <c r="AH375" s="508">
        <f t="shared" si="129"/>
        <v>0</v>
      </c>
      <c r="AI375" s="508">
        <f t="shared" si="130"/>
        <v>0</v>
      </c>
      <c r="AJ375" s="508">
        <f t="shared" si="131"/>
        <v>0</v>
      </c>
      <c r="AK375" s="508">
        <f t="shared" si="132"/>
        <v>0</v>
      </c>
      <c r="AM375" s="486">
        <f t="shared" si="133"/>
        <v>14.76</v>
      </c>
      <c r="AN375" s="117">
        <f t="shared" si="141"/>
        <v>-15</v>
      </c>
      <c r="AO375" s="487">
        <f t="shared" si="134"/>
        <v>6250</v>
      </c>
      <c r="AP375" s="610"/>
    </row>
    <row r="376" spans="1:42" ht="14.25" customHeight="1">
      <c r="A376" s="701">
        <v>370</v>
      </c>
      <c r="B376" s="477"/>
      <c r="C376" s="477" t="s">
        <v>1660</v>
      </c>
      <c r="D376" s="477" t="s">
        <v>1372</v>
      </c>
      <c r="E376" s="475" t="s">
        <v>1453</v>
      </c>
      <c r="F376" s="477"/>
      <c r="G376" s="482" t="s">
        <v>1946</v>
      </c>
      <c r="H376" s="482">
        <v>1</v>
      </c>
      <c r="I376" s="580">
        <v>40544</v>
      </c>
      <c r="J376" s="580">
        <v>37681</v>
      </c>
      <c r="K376" s="581">
        <v>16625</v>
      </c>
      <c r="L376" s="581">
        <v>0</v>
      </c>
      <c r="M376" s="582"/>
      <c r="N376" s="582"/>
      <c r="O376" s="582"/>
      <c r="P376" s="582">
        <f t="shared" si="119"/>
        <v>16625</v>
      </c>
      <c r="Q376" s="582">
        <f t="shared" si="120"/>
        <v>0</v>
      </c>
      <c r="R376" s="583">
        <f t="shared" si="121"/>
        <v>0</v>
      </c>
      <c r="S376" s="584"/>
      <c r="T376" s="584"/>
      <c r="U376" s="585">
        <f t="shared" si="140"/>
        <v>0</v>
      </c>
      <c r="V376" s="586" t="str">
        <f t="shared" si="123"/>
        <v/>
      </c>
      <c r="W376" s="611" t="s">
        <v>2074</v>
      </c>
      <c r="X376" s="618">
        <f t="shared" si="139"/>
        <v>16625</v>
      </c>
      <c r="Y376" s="618"/>
      <c r="Z376" s="617">
        <v>0</v>
      </c>
      <c r="AA376" s="361">
        <f t="shared" si="124"/>
        <v>0</v>
      </c>
      <c r="AB376" s="597"/>
      <c r="AC376" s="485">
        <f t="shared" si="125"/>
        <v>0</v>
      </c>
      <c r="AD376" s="597"/>
      <c r="AE376" s="485">
        <f t="shared" si="126"/>
        <v>0</v>
      </c>
      <c r="AF376" s="508">
        <f t="shared" si="127"/>
        <v>0</v>
      </c>
      <c r="AG376" s="508">
        <f t="shared" si="128"/>
        <v>0</v>
      </c>
      <c r="AH376" s="508">
        <f t="shared" si="129"/>
        <v>0</v>
      </c>
      <c r="AI376" s="508">
        <f t="shared" si="130"/>
        <v>0</v>
      </c>
      <c r="AJ376" s="508">
        <f t="shared" si="131"/>
        <v>0</v>
      </c>
      <c r="AK376" s="508">
        <f t="shared" si="132"/>
        <v>0</v>
      </c>
      <c r="AM376" s="486">
        <f t="shared" si="133"/>
        <v>14.76</v>
      </c>
      <c r="AN376" s="117">
        <f t="shared" si="141"/>
        <v>-15</v>
      </c>
      <c r="AO376" s="487">
        <f t="shared" si="134"/>
        <v>6250</v>
      </c>
      <c r="AP376" s="610"/>
    </row>
    <row r="377" spans="1:42" ht="14.25" customHeight="1">
      <c r="A377" s="701">
        <v>371</v>
      </c>
      <c r="B377" s="477"/>
      <c r="C377" s="477" t="s">
        <v>1578</v>
      </c>
      <c r="D377" s="477" t="s">
        <v>1378</v>
      </c>
      <c r="E377" s="475" t="s">
        <v>1453</v>
      </c>
      <c r="F377" s="611" t="s">
        <v>2035</v>
      </c>
      <c r="G377" s="579" t="s">
        <v>1965</v>
      </c>
      <c r="H377" s="482">
        <v>1</v>
      </c>
      <c r="I377" s="580">
        <v>42368</v>
      </c>
      <c r="J377" s="580">
        <v>42368</v>
      </c>
      <c r="K377" s="581">
        <v>118803.42</v>
      </c>
      <c r="L377" s="581">
        <v>0</v>
      </c>
      <c r="M377" s="582"/>
      <c r="N377" s="582"/>
      <c r="O377" s="582"/>
      <c r="P377" s="582">
        <f t="shared" si="119"/>
        <v>118803.42</v>
      </c>
      <c r="Q377" s="582">
        <f t="shared" si="120"/>
        <v>0</v>
      </c>
      <c r="R377" s="583">
        <f t="shared" si="121"/>
        <v>6900</v>
      </c>
      <c r="S377" s="584"/>
      <c r="T377" s="584">
        <v>4</v>
      </c>
      <c r="U377" s="585">
        <f t="shared" si="140"/>
        <v>6624</v>
      </c>
      <c r="V377" s="586" t="str">
        <f t="shared" si="123"/>
        <v/>
      </c>
      <c r="W377" s="611" t="s">
        <v>2076</v>
      </c>
      <c r="X377" s="619">
        <f>P377*1.17/H377</f>
        <v>139000</v>
      </c>
      <c r="Y377" s="618">
        <f>3.14*(0.4^2-(0.4-0.008)^2)*40*7.85</f>
        <v>6.25</v>
      </c>
      <c r="Z377" s="617">
        <f>Z$4*Y377</f>
        <v>8125</v>
      </c>
      <c r="AA377" s="361">
        <f t="shared" si="124"/>
        <v>6944.44</v>
      </c>
      <c r="AB377" s="597"/>
      <c r="AC377" s="485">
        <f t="shared" si="125"/>
        <v>0</v>
      </c>
      <c r="AD377" s="597"/>
      <c r="AE377" s="485">
        <f t="shared" si="126"/>
        <v>0</v>
      </c>
      <c r="AF377" s="508">
        <f t="shared" si="127"/>
        <v>0</v>
      </c>
      <c r="AG377" s="508">
        <f t="shared" si="128"/>
        <v>0</v>
      </c>
      <c r="AH377" s="508">
        <f t="shared" si="129"/>
        <v>8125</v>
      </c>
      <c r="AI377" s="508">
        <f t="shared" si="130"/>
        <v>0</v>
      </c>
      <c r="AJ377" s="508">
        <f t="shared" si="131"/>
        <v>1180.56</v>
      </c>
      <c r="AK377" s="508">
        <f t="shared" si="132"/>
        <v>6900</v>
      </c>
      <c r="AM377" s="486">
        <f t="shared" si="133"/>
        <v>1.92</v>
      </c>
      <c r="AN377" s="117">
        <f t="shared" si="141"/>
        <v>-2</v>
      </c>
      <c r="AO377" s="487">
        <f t="shared" si="134"/>
        <v>2500</v>
      </c>
      <c r="AP377" s="610"/>
    </row>
    <row r="378" spans="1:42" ht="14.25" customHeight="1">
      <c r="A378" s="701">
        <v>372</v>
      </c>
      <c r="B378" s="477"/>
      <c r="C378" s="671" t="s">
        <v>2315</v>
      </c>
      <c r="D378" s="477" t="s">
        <v>2318</v>
      </c>
      <c r="E378" s="475" t="s">
        <v>1453</v>
      </c>
      <c r="F378" s="623" t="s">
        <v>1995</v>
      </c>
      <c r="G378" s="482" t="s">
        <v>1943</v>
      </c>
      <c r="H378" s="482">
        <v>1</v>
      </c>
      <c r="I378" s="580">
        <v>42368</v>
      </c>
      <c r="J378" s="580">
        <v>39569</v>
      </c>
      <c r="K378" s="703">
        <v>1050790.68</v>
      </c>
      <c r="L378" s="616">
        <v>89811.17</v>
      </c>
      <c r="M378" s="704" t="s">
        <v>2346</v>
      </c>
      <c r="N378" s="582"/>
      <c r="O378" s="582"/>
      <c r="P378" s="582">
        <f t="shared" si="119"/>
        <v>1050790.68</v>
      </c>
      <c r="Q378" s="582">
        <f t="shared" si="120"/>
        <v>89811.17</v>
      </c>
      <c r="R378" s="583">
        <f t="shared" si="121"/>
        <v>846200</v>
      </c>
      <c r="S378" s="668">
        <f>AO378</f>
        <v>17</v>
      </c>
      <c r="T378" s="584">
        <v>5</v>
      </c>
      <c r="U378" s="585">
        <f>IF(S378="",R378,ROUND(R378*(S378-T378)/100,0))</f>
        <v>101544</v>
      </c>
      <c r="V378" s="586">
        <f t="shared" si="123"/>
        <v>13.06</v>
      </c>
      <c r="W378" s="477"/>
      <c r="X378" s="619">
        <f>P378*1.17/H378</f>
        <v>1229425.1000000001</v>
      </c>
      <c r="Y378" s="618"/>
      <c r="Z378" s="705">
        <v>990000</v>
      </c>
      <c r="AA378" s="361">
        <f t="shared" si="124"/>
        <v>846153.85</v>
      </c>
      <c r="AB378" s="597"/>
      <c r="AC378" s="485">
        <f t="shared" si="125"/>
        <v>0</v>
      </c>
      <c r="AD378" s="597"/>
      <c r="AE378" s="485">
        <f t="shared" si="126"/>
        <v>0</v>
      </c>
      <c r="AF378" s="508">
        <f t="shared" si="127"/>
        <v>0</v>
      </c>
      <c r="AG378" s="508">
        <f t="shared" si="128"/>
        <v>0</v>
      </c>
      <c r="AH378" s="508">
        <f t="shared" si="129"/>
        <v>990000</v>
      </c>
      <c r="AI378" s="508">
        <f t="shared" si="130"/>
        <v>0</v>
      </c>
      <c r="AJ378" s="508">
        <f t="shared" si="131"/>
        <v>143846.15</v>
      </c>
      <c r="AK378" s="508">
        <f t="shared" si="132"/>
        <v>846200</v>
      </c>
      <c r="AL378" s="116">
        <v>14</v>
      </c>
      <c r="AM378" s="486">
        <f t="shared" si="133"/>
        <v>9.59</v>
      </c>
      <c r="AN378" s="632">
        <v>2</v>
      </c>
      <c r="AO378" s="487">
        <f t="shared" si="134"/>
        <v>17</v>
      </c>
      <c r="AP378" s="610"/>
    </row>
    <row r="379" spans="1:42" ht="14.25" customHeight="1">
      <c r="A379" s="701">
        <v>373</v>
      </c>
      <c r="B379" s="477"/>
      <c r="C379" s="477" t="s">
        <v>1731</v>
      </c>
      <c r="D379" s="477" t="s">
        <v>1261</v>
      </c>
      <c r="E379" s="475" t="s">
        <v>1453</v>
      </c>
      <c r="F379" s="623" t="s">
        <v>1995</v>
      </c>
      <c r="G379" s="482" t="s">
        <v>1943</v>
      </c>
      <c r="H379" s="482">
        <v>1</v>
      </c>
      <c r="I379" s="580">
        <v>40544</v>
      </c>
      <c r="J379" s="580">
        <v>37681</v>
      </c>
      <c r="K379" s="581">
        <v>150000</v>
      </c>
      <c r="L379" s="581">
        <v>4273.5</v>
      </c>
      <c r="M379" s="582"/>
      <c r="N379" s="582"/>
      <c r="O379" s="582"/>
      <c r="P379" s="582">
        <f t="shared" si="119"/>
        <v>150000</v>
      </c>
      <c r="Q379" s="582">
        <f t="shared" si="120"/>
        <v>4273.5</v>
      </c>
      <c r="R379" s="583">
        <f t="shared" si="121"/>
        <v>153800</v>
      </c>
      <c r="S379" s="668">
        <f>AP379</f>
        <v>10</v>
      </c>
      <c r="T379" s="584">
        <v>3</v>
      </c>
      <c r="U379" s="585">
        <f>IF(S379="",R379,ROUND(R379*(S379-T379)/100,0))</f>
        <v>10766</v>
      </c>
      <c r="V379" s="586">
        <f t="shared" si="123"/>
        <v>151.91999999999999</v>
      </c>
      <c r="W379" s="477"/>
      <c r="X379" s="618">
        <f t="shared" ref="X379:X384" si="142">P379/H379</f>
        <v>150000</v>
      </c>
      <c r="Y379" s="618"/>
      <c r="Z379" s="489">
        <v>180000</v>
      </c>
      <c r="AA379" s="361">
        <f t="shared" si="124"/>
        <v>153846.15</v>
      </c>
      <c r="AB379" s="597"/>
      <c r="AC379" s="485">
        <f t="shared" si="125"/>
        <v>0</v>
      </c>
      <c r="AD379" s="597"/>
      <c r="AE379" s="485">
        <f t="shared" si="126"/>
        <v>0</v>
      </c>
      <c r="AF379" s="508">
        <f t="shared" si="127"/>
        <v>0</v>
      </c>
      <c r="AG379" s="508">
        <f t="shared" si="128"/>
        <v>0</v>
      </c>
      <c r="AH379" s="508">
        <f t="shared" si="129"/>
        <v>180000</v>
      </c>
      <c r="AI379" s="508">
        <f t="shared" si="130"/>
        <v>0</v>
      </c>
      <c r="AJ379" s="508">
        <f t="shared" si="131"/>
        <v>26153.85</v>
      </c>
      <c r="AK379" s="508">
        <f t="shared" si="132"/>
        <v>153800</v>
      </c>
      <c r="AL379" s="116">
        <v>12</v>
      </c>
      <c r="AM379" s="486">
        <f t="shared" si="133"/>
        <v>14.76</v>
      </c>
      <c r="AN379" s="632">
        <v>2</v>
      </c>
      <c r="AO379" s="487">
        <f t="shared" si="134"/>
        <v>12</v>
      </c>
      <c r="AP379" s="669">
        <v>10</v>
      </c>
    </row>
    <row r="380" spans="1:42" ht="14.25" customHeight="1">
      <c r="A380" s="701">
        <v>374</v>
      </c>
      <c r="B380" s="477"/>
      <c r="C380" s="477" t="s">
        <v>1731</v>
      </c>
      <c r="D380" s="477" t="s">
        <v>1261</v>
      </c>
      <c r="E380" s="475" t="s">
        <v>1453</v>
      </c>
      <c r="F380" s="623" t="s">
        <v>1995</v>
      </c>
      <c r="G380" s="482" t="s">
        <v>1943</v>
      </c>
      <c r="H380" s="482">
        <v>1</v>
      </c>
      <c r="I380" s="580">
        <v>40544</v>
      </c>
      <c r="J380" s="580">
        <v>37681</v>
      </c>
      <c r="K380" s="581">
        <v>150000</v>
      </c>
      <c r="L380" s="581">
        <v>31721.360000000001</v>
      </c>
      <c r="M380" s="582"/>
      <c r="N380" s="582"/>
      <c r="O380" s="582"/>
      <c r="P380" s="582">
        <f t="shared" si="119"/>
        <v>150000</v>
      </c>
      <c r="Q380" s="582">
        <f t="shared" si="120"/>
        <v>31721.360000000001</v>
      </c>
      <c r="R380" s="583">
        <f t="shared" si="121"/>
        <v>153800</v>
      </c>
      <c r="S380" s="668">
        <f>AP380</f>
        <v>10</v>
      </c>
      <c r="T380" s="584">
        <v>3</v>
      </c>
      <c r="U380" s="585">
        <f>IF(S380="",R380,ROUND(R380*(S380-T380)/100,0))</f>
        <v>10766</v>
      </c>
      <c r="V380" s="586">
        <f t="shared" si="123"/>
        <v>-66.06</v>
      </c>
      <c r="W380" s="477"/>
      <c r="X380" s="618">
        <f t="shared" si="142"/>
        <v>150000</v>
      </c>
      <c r="Y380" s="618"/>
      <c r="Z380" s="489">
        <v>180000</v>
      </c>
      <c r="AA380" s="361">
        <f t="shared" si="124"/>
        <v>153846.15</v>
      </c>
      <c r="AB380" s="597"/>
      <c r="AC380" s="485">
        <f t="shared" si="125"/>
        <v>0</v>
      </c>
      <c r="AD380" s="597"/>
      <c r="AE380" s="485">
        <f t="shared" si="126"/>
        <v>0</v>
      </c>
      <c r="AF380" s="508">
        <f t="shared" si="127"/>
        <v>0</v>
      </c>
      <c r="AG380" s="508">
        <f t="shared" si="128"/>
        <v>0</v>
      </c>
      <c r="AH380" s="508">
        <f t="shared" si="129"/>
        <v>180000</v>
      </c>
      <c r="AI380" s="508">
        <f t="shared" si="130"/>
        <v>0</v>
      </c>
      <c r="AJ380" s="508">
        <f t="shared" si="131"/>
        <v>26153.85</v>
      </c>
      <c r="AK380" s="508">
        <f t="shared" si="132"/>
        <v>153800</v>
      </c>
      <c r="AL380" s="116">
        <v>12</v>
      </c>
      <c r="AM380" s="486">
        <f t="shared" si="133"/>
        <v>14.76</v>
      </c>
      <c r="AN380" s="632">
        <v>2</v>
      </c>
      <c r="AO380" s="487">
        <f t="shared" si="134"/>
        <v>12</v>
      </c>
      <c r="AP380" s="669">
        <v>10</v>
      </c>
    </row>
    <row r="381" spans="1:42" ht="14.25" customHeight="1">
      <c r="A381" s="701">
        <v>375</v>
      </c>
      <c r="B381" s="477"/>
      <c r="C381" s="477" t="s">
        <v>1484</v>
      </c>
      <c r="D381" s="477"/>
      <c r="E381" s="475" t="s">
        <v>1453</v>
      </c>
      <c r="F381" s="477"/>
      <c r="G381" s="579" t="s">
        <v>1963</v>
      </c>
      <c r="H381" s="482">
        <v>1</v>
      </c>
      <c r="I381" s="580">
        <v>40544</v>
      </c>
      <c r="J381" s="580">
        <v>37681</v>
      </c>
      <c r="K381" s="581">
        <v>371139.87</v>
      </c>
      <c r="L381" s="581">
        <v>0</v>
      </c>
      <c r="M381" s="582"/>
      <c r="N381" s="582"/>
      <c r="O381" s="582"/>
      <c r="P381" s="582">
        <f t="shared" si="119"/>
        <v>371139.87</v>
      </c>
      <c r="Q381" s="582">
        <f t="shared" si="120"/>
        <v>0</v>
      </c>
      <c r="R381" s="583">
        <f t="shared" si="121"/>
        <v>0</v>
      </c>
      <c r="S381" s="584"/>
      <c r="T381" s="584"/>
      <c r="U381" s="585">
        <f>IF(S381="",R381,ROUND(R381*S381/100,0))</f>
        <v>0</v>
      </c>
      <c r="V381" s="586" t="str">
        <f t="shared" si="123"/>
        <v/>
      </c>
      <c r="W381" s="611" t="s">
        <v>2079</v>
      </c>
      <c r="X381" s="618">
        <f t="shared" si="142"/>
        <v>371139.87</v>
      </c>
      <c r="Y381" s="618"/>
      <c r="Z381" s="617">
        <v>0</v>
      </c>
      <c r="AA381" s="361">
        <f t="shared" si="124"/>
        <v>0</v>
      </c>
      <c r="AB381" s="597"/>
      <c r="AC381" s="485">
        <f t="shared" si="125"/>
        <v>0</v>
      </c>
      <c r="AD381" s="597"/>
      <c r="AE381" s="485">
        <f t="shared" si="126"/>
        <v>0</v>
      </c>
      <c r="AF381" s="508">
        <f t="shared" si="127"/>
        <v>0</v>
      </c>
      <c r="AG381" s="508">
        <f t="shared" si="128"/>
        <v>0</v>
      </c>
      <c r="AH381" s="508">
        <f t="shared" si="129"/>
        <v>0</v>
      </c>
      <c r="AI381" s="508">
        <f t="shared" si="130"/>
        <v>0</v>
      </c>
      <c r="AJ381" s="508">
        <f t="shared" si="131"/>
        <v>0</v>
      </c>
      <c r="AK381" s="508">
        <f t="shared" si="132"/>
        <v>0</v>
      </c>
      <c r="AM381" s="486">
        <f t="shared" si="133"/>
        <v>14.76</v>
      </c>
      <c r="AN381" s="117">
        <f>ROUND((AL381-AM381),0)</f>
        <v>-15</v>
      </c>
      <c r="AO381" s="487">
        <f t="shared" si="134"/>
        <v>6250</v>
      </c>
      <c r="AP381" s="610"/>
    </row>
    <row r="382" spans="1:42" ht="14.25" customHeight="1">
      <c r="A382" s="701">
        <v>376</v>
      </c>
      <c r="B382" s="477"/>
      <c r="C382" s="477" t="s">
        <v>1745</v>
      </c>
      <c r="D382" s="477" t="s">
        <v>1212</v>
      </c>
      <c r="E382" s="475" t="s">
        <v>1453</v>
      </c>
      <c r="F382" s="611" t="s">
        <v>2066</v>
      </c>
      <c r="G382" s="579" t="s">
        <v>1967</v>
      </c>
      <c r="H382" s="482">
        <v>1</v>
      </c>
      <c r="I382" s="580">
        <v>40544</v>
      </c>
      <c r="J382" s="580">
        <v>37681</v>
      </c>
      <c r="K382" s="581">
        <v>64515</v>
      </c>
      <c r="L382" s="581">
        <v>0</v>
      </c>
      <c r="M382" s="582"/>
      <c r="N382" s="582"/>
      <c r="O382" s="582"/>
      <c r="P382" s="582">
        <f t="shared" si="119"/>
        <v>64515</v>
      </c>
      <c r="Q382" s="582">
        <f t="shared" si="120"/>
        <v>0</v>
      </c>
      <c r="R382" s="583">
        <f t="shared" si="121"/>
        <v>100</v>
      </c>
      <c r="S382" s="584"/>
      <c r="T382" s="584">
        <v>3</v>
      </c>
      <c r="U382" s="585">
        <f>ROUND(R382*(1-T382/100),0)</f>
        <v>97</v>
      </c>
      <c r="V382" s="586" t="str">
        <f t="shared" si="123"/>
        <v/>
      </c>
      <c r="W382" s="611" t="s">
        <v>2074</v>
      </c>
      <c r="X382" s="618">
        <f t="shared" si="142"/>
        <v>64515</v>
      </c>
      <c r="Y382" s="618"/>
      <c r="Z382" s="617">
        <v>100</v>
      </c>
      <c r="AA382" s="361">
        <f t="shared" si="124"/>
        <v>85.47</v>
      </c>
      <c r="AB382" s="597"/>
      <c r="AC382" s="485">
        <f t="shared" si="125"/>
        <v>0</v>
      </c>
      <c r="AD382" s="597"/>
      <c r="AE382" s="485">
        <f t="shared" si="126"/>
        <v>0</v>
      </c>
      <c r="AF382" s="508">
        <f t="shared" si="127"/>
        <v>0</v>
      </c>
      <c r="AG382" s="508">
        <f t="shared" si="128"/>
        <v>0</v>
      </c>
      <c r="AH382" s="508">
        <f t="shared" si="129"/>
        <v>100</v>
      </c>
      <c r="AI382" s="508">
        <f t="shared" si="130"/>
        <v>0</v>
      </c>
      <c r="AJ382" s="508">
        <f t="shared" si="131"/>
        <v>14.53</v>
      </c>
      <c r="AK382" s="508">
        <f t="shared" si="132"/>
        <v>100</v>
      </c>
      <c r="AM382" s="486">
        <f t="shared" si="133"/>
        <v>14.76</v>
      </c>
      <c r="AN382" s="117">
        <f>ROUND((AL382-AM382),0)</f>
        <v>-15</v>
      </c>
      <c r="AO382" s="487">
        <f t="shared" si="134"/>
        <v>6250</v>
      </c>
      <c r="AP382" s="610"/>
    </row>
    <row r="383" spans="1:42" ht="14.25" customHeight="1">
      <c r="A383" s="701">
        <v>377</v>
      </c>
      <c r="B383" s="477"/>
      <c r="C383" s="477" t="s">
        <v>1463</v>
      </c>
      <c r="D383" s="477"/>
      <c r="E383" s="475" t="s">
        <v>1453</v>
      </c>
      <c r="F383" s="611" t="s">
        <v>2066</v>
      </c>
      <c r="G383" s="482" t="s">
        <v>1943</v>
      </c>
      <c r="H383" s="482">
        <v>1</v>
      </c>
      <c r="I383" s="580">
        <v>40544</v>
      </c>
      <c r="J383" s="580">
        <v>37681</v>
      </c>
      <c r="K383" s="581">
        <v>30000</v>
      </c>
      <c r="L383" s="581">
        <v>0</v>
      </c>
      <c r="M383" s="582"/>
      <c r="N383" s="582"/>
      <c r="O383" s="582"/>
      <c r="P383" s="582">
        <f t="shared" si="119"/>
        <v>30000</v>
      </c>
      <c r="Q383" s="582">
        <f t="shared" si="120"/>
        <v>0</v>
      </c>
      <c r="R383" s="583">
        <f t="shared" si="121"/>
        <v>300</v>
      </c>
      <c r="S383" s="584"/>
      <c r="T383" s="584">
        <v>3</v>
      </c>
      <c r="U383" s="585">
        <f>ROUND(R383*(1-T383/100),0)</f>
        <v>291</v>
      </c>
      <c r="V383" s="586" t="str">
        <f t="shared" si="123"/>
        <v/>
      </c>
      <c r="W383" s="611" t="s">
        <v>2074</v>
      </c>
      <c r="X383" s="618">
        <f t="shared" si="142"/>
        <v>30000</v>
      </c>
      <c r="Y383" s="618"/>
      <c r="Z383" s="617">
        <v>300</v>
      </c>
      <c r="AA383" s="361">
        <f t="shared" si="124"/>
        <v>256.41000000000003</v>
      </c>
      <c r="AB383" s="597"/>
      <c r="AC383" s="485">
        <f t="shared" si="125"/>
        <v>0</v>
      </c>
      <c r="AD383" s="597"/>
      <c r="AE383" s="485">
        <f t="shared" si="126"/>
        <v>0</v>
      </c>
      <c r="AF383" s="508">
        <f t="shared" si="127"/>
        <v>0</v>
      </c>
      <c r="AG383" s="508">
        <f t="shared" si="128"/>
        <v>0</v>
      </c>
      <c r="AH383" s="508">
        <f t="shared" si="129"/>
        <v>300</v>
      </c>
      <c r="AI383" s="508">
        <f t="shared" si="130"/>
        <v>0</v>
      </c>
      <c r="AJ383" s="508">
        <f t="shared" si="131"/>
        <v>43.59</v>
      </c>
      <c r="AK383" s="508">
        <f t="shared" si="132"/>
        <v>300</v>
      </c>
      <c r="AL383" s="116">
        <v>12</v>
      </c>
      <c r="AM383" s="486">
        <f t="shared" si="133"/>
        <v>14.76</v>
      </c>
      <c r="AN383" s="117">
        <f>ROUND((AL383-AM383),0)</f>
        <v>-3</v>
      </c>
      <c r="AO383" s="487">
        <f t="shared" si="134"/>
        <v>-26</v>
      </c>
      <c r="AP383" s="610"/>
    </row>
    <row r="384" spans="1:42" ht="14.25" customHeight="1">
      <c r="A384" s="701">
        <v>378</v>
      </c>
      <c r="B384" s="477"/>
      <c r="C384" s="477" t="s">
        <v>1494</v>
      </c>
      <c r="D384" s="477" t="s">
        <v>1380</v>
      </c>
      <c r="E384" s="475" t="s">
        <v>1453</v>
      </c>
      <c r="F384" s="611" t="s">
        <v>2056</v>
      </c>
      <c r="G384" s="482" t="s">
        <v>1943</v>
      </c>
      <c r="H384" s="482">
        <v>1</v>
      </c>
      <c r="I384" s="580">
        <v>40964</v>
      </c>
      <c r="J384" s="580">
        <v>40964</v>
      </c>
      <c r="K384" s="581">
        <v>2080</v>
      </c>
      <c r="L384" s="581">
        <v>0</v>
      </c>
      <c r="M384" s="582"/>
      <c r="N384" s="582"/>
      <c r="O384" s="582"/>
      <c r="P384" s="582">
        <f t="shared" si="119"/>
        <v>2080</v>
      </c>
      <c r="Q384" s="582">
        <f t="shared" si="120"/>
        <v>0</v>
      </c>
      <c r="R384" s="583">
        <f t="shared" si="121"/>
        <v>300</v>
      </c>
      <c r="S384" s="584"/>
      <c r="T384" s="584"/>
      <c r="U384" s="585">
        <f>IF(S384="",R384,ROUND(R384*S384/100,0))</f>
        <v>300</v>
      </c>
      <c r="V384" s="586" t="str">
        <f t="shared" si="123"/>
        <v/>
      </c>
      <c r="W384" s="477"/>
      <c r="X384" s="618">
        <f t="shared" si="142"/>
        <v>2080</v>
      </c>
      <c r="Y384" s="618"/>
      <c r="Z384" s="617">
        <v>300</v>
      </c>
      <c r="AA384" s="361">
        <f t="shared" si="124"/>
        <v>256.41000000000003</v>
      </c>
      <c r="AB384" s="597"/>
      <c r="AC384" s="485">
        <f t="shared" si="125"/>
        <v>0</v>
      </c>
      <c r="AD384" s="597"/>
      <c r="AE384" s="485">
        <f t="shared" si="126"/>
        <v>0</v>
      </c>
      <c r="AF384" s="508">
        <f t="shared" si="127"/>
        <v>0</v>
      </c>
      <c r="AG384" s="508">
        <f t="shared" si="128"/>
        <v>0</v>
      </c>
      <c r="AH384" s="508">
        <f t="shared" si="129"/>
        <v>300</v>
      </c>
      <c r="AI384" s="508">
        <f t="shared" si="130"/>
        <v>0</v>
      </c>
      <c r="AJ384" s="508">
        <f t="shared" si="131"/>
        <v>43.59</v>
      </c>
      <c r="AK384" s="508">
        <f t="shared" si="132"/>
        <v>300</v>
      </c>
      <c r="AL384" s="116">
        <v>6</v>
      </c>
      <c r="AM384" s="486">
        <f t="shared" si="133"/>
        <v>5.77</v>
      </c>
      <c r="AN384" s="117">
        <f>ROUND((AL384-AM384),0)</f>
        <v>0</v>
      </c>
      <c r="AO384" s="487">
        <f t="shared" si="134"/>
        <v>0</v>
      </c>
      <c r="AP384" s="610"/>
    </row>
    <row r="385" spans="1:42" ht="14.25" customHeight="1">
      <c r="A385" s="701">
        <v>379</v>
      </c>
      <c r="B385" s="477"/>
      <c r="C385" s="611" t="s">
        <v>2313</v>
      </c>
      <c r="D385" s="477" t="s">
        <v>1381</v>
      </c>
      <c r="E385" s="475" t="s">
        <v>1453</v>
      </c>
      <c r="F385" s="623" t="s">
        <v>1995</v>
      </c>
      <c r="G385" s="482" t="s">
        <v>1943</v>
      </c>
      <c r="H385" s="482">
        <v>1</v>
      </c>
      <c r="I385" s="580">
        <v>41983</v>
      </c>
      <c r="J385" s="580">
        <v>41983</v>
      </c>
      <c r="K385" s="616">
        <v>1570893.35</v>
      </c>
      <c r="L385" s="616">
        <v>6410.26</v>
      </c>
      <c r="M385" s="704" t="s">
        <v>2346</v>
      </c>
      <c r="N385" s="582"/>
      <c r="O385" s="582"/>
      <c r="P385" s="582">
        <f t="shared" si="119"/>
        <v>1570893.35</v>
      </c>
      <c r="Q385" s="582">
        <f t="shared" si="120"/>
        <v>6410.26</v>
      </c>
      <c r="R385" s="583">
        <f t="shared" si="121"/>
        <v>940200</v>
      </c>
      <c r="S385" s="668">
        <f t="shared" ref="S385:S417" si="143">AP385</f>
        <v>20</v>
      </c>
      <c r="T385" s="584">
        <v>3</v>
      </c>
      <c r="U385" s="585">
        <f>IF(S385="",R385,ROUND(R385*(S385-T385)/100,0))</f>
        <v>159834</v>
      </c>
      <c r="V385" s="586">
        <f t="shared" si="123"/>
        <v>2393.41</v>
      </c>
      <c r="W385" s="477"/>
      <c r="X385" s="619">
        <f>P385*1.17/H385</f>
        <v>1837945.22</v>
      </c>
      <c r="Y385" s="618"/>
      <c r="Z385" s="624">
        <v>1100000</v>
      </c>
      <c r="AA385" s="361">
        <f t="shared" si="124"/>
        <v>940170.94</v>
      </c>
      <c r="AB385" s="597"/>
      <c r="AC385" s="485">
        <f t="shared" si="125"/>
        <v>0</v>
      </c>
      <c r="AD385" s="597"/>
      <c r="AE385" s="485">
        <f t="shared" si="126"/>
        <v>0</v>
      </c>
      <c r="AF385" s="508">
        <f t="shared" si="127"/>
        <v>0</v>
      </c>
      <c r="AG385" s="508">
        <f t="shared" si="128"/>
        <v>0</v>
      </c>
      <c r="AH385" s="508">
        <f t="shared" si="129"/>
        <v>1100000</v>
      </c>
      <c r="AI385" s="508">
        <f t="shared" si="130"/>
        <v>0</v>
      </c>
      <c r="AJ385" s="508">
        <f t="shared" si="131"/>
        <v>159829.06</v>
      </c>
      <c r="AK385" s="508">
        <f t="shared" si="132"/>
        <v>940200</v>
      </c>
      <c r="AL385" s="116">
        <v>12</v>
      </c>
      <c r="AM385" s="486">
        <f t="shared" si="133"/>
        <v>2.98</v>
      </c>
      <c r="AN385" s="117">
        <f>ROUND((AL385-AM385),0)</f>
        <v>9</v>
      </c>
      <c r="AO385" s="487">
        <f t="shared" si="134"/>
        <v>75</v>
      </c>
      <c r="AP385" s="610">
        <v>20</v>
      </c>
    </row>
    <row r="386" spans="1:42" ht="14.25" customHeight="1">
      <c r="A386" s="701">
        <v>380</v>
      </c>
      <c r="B386" s="477"/>
      <c r="C386" s="477" t="s">
        <v>1788</v>
      </c>
      <c r="D386" s="477" t="s">
        <v>1382</v>
      </c>
      <c r="E386" s="475" t="s">
        <v>1453</v>
      </c>
      <c r="F386" s="477"/>
      <c r="G386" s="579" t="s">
        <v>1942</v>
      </c>
      <c r="H386" s="482">
        <v>1</v>
      </c>
      <c r="I386" s="580">
        <v>40544</v>
      </c>
      <c r="J386" s="580">
        <v>37681</v>
      </c>
      <c r="K386" s="581">
        <v>40640</v>
      </c>
      <c r="L386" s="581">
        <v>0</v>
      </c>
      <c r="M386" s="582"/>
      <c r="N386" s="582"/>
      <c r="O386" s="582"/>
      <c r="P386" s="582">
        <f t="shared" si="119"/>
        <v>40640</v>
      </c>
      <c r="Q386" s="582">
        <f t="shared" si="120"/>
        <v>0</v>
      </c>
      <c r="R386" s="583">
        <f t="shared" si="121"/>
        <v>27400</v>
      </c>
      <c r="S386" s="668">
        <f t="shared" si="143"/>
        <v>10</v>
      </c>
      <c r="T386" s="584"/>
      <c r="U386" s="585">
        <f>IF(S386="",R386,ROUND(R386*S386/100,0))</f>
        <v>2740</v>
      </c>
      <c r="V386" s="586" t="str">
        <f t="shared" si="123"/>
        <v/>
      </c>
      <c r="W386" s="477"/>
      <c r="X386" s="618">
        <f>P386/H386</f>
        <v>40640</v>
      </c>
      <c r="Y386" s="618"/>
      <c r="Z386" s="489">
        <v>32000</v>
      </c>
      <c r="AA386" s="361">
        <f t="shared" si="124"/>
        <v>27350.43</v>
      </c>
      <c r="AB386" s="597"/>
      <c r="AC386" s="485">
        <f t="shared" si="125"/>
        <v>0</v>
      </c>
      <c r="AD386" s="597"/>
      <c r="AE386" s="485">
        <f t="shared" si="126"/>
        <v>0</v>
      </c>
      <c r="AF386" s="508">
        <f t="shared" si="127"/>
        <v>0</v>
      </c>
      <c r="AG386" s="508">
        <f t="shared" si="128"/>
        <v>0</v>
      </c>
      <c r="AH386" s="508">
        <f t="shared" si="129"/>
        <v>32000</v>
      </c>
      <c r="AI386" s="508">
        <f t="shared" si="130"/>
        <v>0</v>
      </c>
      <c r="AJ386" s="508">
        <f t="shared" si="131"/>
        <v>4649.57</v>
      </c>
      <c r="AK386" s="508">
        <f t="shared" si="132"/>
        <v>27400</v>
      </c>
      <c r="AL386" s="116">
        <v>14</v>
      </c>
      <c r="AM386" s="486">
        <f t="shared" si="133"/>
        <v>14.76</v>
      </c>
      <c r="AN386" s="632">
        <v>2</v>
      </c>
      <c r="AO386" s="487">
        <f t="shared" si="134"/>
        <v>12</v>
      </c>
      <c r="AP386" s="669">
        <v>10</v>
      </c>
    </row>
    <row r="387" spans="1:42" ht="14.25" customHeight="1">
      <c r="A387" s="701">
        <v>381</v>
      </c>
      <c r="B387" s="477"/>
      <c r="C387" s="611" t="s">
        <v>2048</v>
      </c>
      <c r="D387" s="477" t="s">
        <v>1383</v>
      </c>
      <c r="E387" s="475" t="s">
        <v>1453</v>
      </c>
      <c r="F387" s="611" t="s">
        <v>2025</v>
      </c>
      <c r="G387" s="482" t="s">
        <v>1943</v>
      </c>
      <c r="H387" s="482">
        <v>1</v>
      </c>
      <c r="I387" s="580">
        <v>40544</v>
      </c>
      <c r="J387" s="580">
        <v>37681</v>
      </c>
      <c r="K387" s="581">
        <v>227876.44</v>
      </c>
      <c r="L387" s="581">
        <v>76923.08</v>
      </c>
      <c r="M387" s="582"/>
      <c r="N387" s="582"/>
      <c r="O387" s="582"/>
      <c r="P387" s="582">
        <f t="shared" si="119"/>
        <v>227876.44</v>
      </c>
      <c r="Q387" s="582">
        <f t="shared" si="120"/>
        <v>76923.08</v>
      </c>
      <c r="R387" s="583">
        <f t="shared" si="121"/>
        <v>217100</v>
      </c>
      <c r="S387" s="668">
        <f t="shared" si="143"/>
        <v>10</v>
      </c>
      <c r="T387" s="584">
        <v>3</v>
      </c>
      <c r="U387" s="585">
        <f t="shared" ref="U387:U417" si="144">IF(S387="",R387,ROUND(R387*(S387-T387)/100,0))</f>
        <v>15197</v>
      </c>
      <c r="V387" s="586">
        <f t="shared" si="123"/>
        <v>-80.239999999999995</v>
      </c>
      <c r="W387" s="477"/>
      <c r="X387" s="618">
        <f>P387/H387</f>
        <v>227876.44</v>
      </c>
      <c r="Y387" s="618"/>
      <c r="Z387" s="489">
        <v>254000</v>
      </c>
      <c r="AA387" s="361">
        <f t="shared" si="124"/>
        <v>217094.02</v>
      </c>
      <c r="AB387" s="597"/>
      <c r="AC387" s="485">
        <f t="shared" si="125"/>
        <v>0</v>
      </c>
      <c r="AD387" s="597"/>
      <c r="AE387" s="485">
        <f t="shared" si="126"/>
        <v>0</v>
      </c>
      <c r="AF387" s="508">
        <f t="shared" si="127"/>
        <v>0</v>
      </c>
      <c r="AG387" s="508">
        <f t="shared" si="128"/>
        <v>0</v>
      </c>
      <c r="AH387" s="508">
        <f t="shared" si="129"/>
        <v>254000</v>
      </c>
      <c r="AI387" s="508">
        <f t="shared" si="130"/>
        <v>0</v>
      </c>
      <c r="AJ387" s="508">
        <f t="shared" si="131"/>
        <v>36905.980000000003</v>
      </c>
      <c r="AK387" s="508">
        <f t="shared" si="132"/>
        <v>217100</v>
      </c>
      <c r="AL387" s="116">
        <v>12</v>
      </c>
      <c r="AM387" s="486">
        <f t="shared" si="133"/>
        <v>14.76</v>
      </c>
      <c r="AN387" s="632">
        <v>2</v>
      </c>
      <c r="AO387" s="487">
        <f t="shared" si="134"/>
        <v>12</v>
      </c>
      <c r="AP387" s="669">
        <v>10</v>
      </c>
    </row>
    <row r="388" spans="1:42" ht="14.25" customHeight="1">
      <c r="A388" s="701">
        <v>382</v>
      </c>
      <c r="B388" s="477"/>
      <c r="C388" s="477" t="s">
        <v>1631</v>
      </c>
      <c r="D388" s="477" t="s">
        <v>1384</v>
      </c>
      <c r="E388" s="475" t="s">
        <v>1453</v>
      </c>
      <c r="F388" s="611" t="s">
        <v>1996</v>
      </c>
      <c r="G388" s="482" t="s">
        <v>1943</v>
      </c>
      <c r="H388" s="482">
        <v>1</v>
      </c>
      <c r="I388" s="580">
        <v>41768</v>
      </c>
      <c r="J388" s="580">
        <v>41768</v>
      </c>
      <c r="K388" s="581">
        <v>852474.8</v>
      </c>
      <c r="L388" s="581">
        <v>673455.11</v>
      </c>
      <c r="M388" s="704" t="s">
        <v>2346</v>
      </c>
      <c r="N388" s="582"/>
      <c r="O388" s="582"/>
      <c r="P388" s="582">
        <f t="shared" si="119"/>
        <v>852474.8</v>
      </c>
      <c r="Q388" s="582">
        <f t="shared" si="120"/>
        <v>673455.11</v>
      </c>
      <c r="R388" s="583">
        <f t="shared" si="121"/>
        <v>641000</v>
      </c>
      <c r="S388" s="668">
        <f t="shared" si="143"/>
        <v>16</v>
      </c>
      <c r="T388" s="584">
        <v>3</v>
      </c>
      <c r="U388" s="585">
        <f t="shared" si="144"/>
        <v>83330</v>
      </c>
      <c r="V388" s="586">
        <f t="shared" si="123"/>
        <v>-87.63</v>
      </c>
      <c r="W388" s="477"/>
      <c r="X388" s="619">
        <f>P388*1.17/H388</f>
        <v>997395.52</v>
      </c>
      <c r="Y388" s="618"/>
      <c r="Z388" s="624">
        <v>750000</v>
      </c>
      <c r="AA388" s="361">
        <f t="shared" si="124"/>
        <v>641025.64</v>
      </c>
      <c r="AB388" s="597"/>
      <c r="AC388" s="485">
        <f t="shared" si="125"/>
        <v>0</v>
      </c>
      <c r="AD388" s="597"/>
      <c r="AE388" s="485">
        <f t="shared" si="126"/>
        <v>0</v>
      </c>
      <c r="AF388" s="508">
        <f t="shared" si="127"/>
        <v>0</v>
      </c>
      <c r="AG388" s="508">
        <f t="shared" si="128"/>
        <v>0</v>
      </c>
      <c r="AH388" s="508">
        <f t="shared" si="129"/>
        <v>750000</v>
      </c>
      <c r="AI388" s="508">
        <f t="shared" si="130"/>
        <v>0</v>
      </c>
      <c r="AJ388" s="508">
        <f t="shared" si="131"/>
        <v>108974.36</v>
      </c>
      <c r="AK388" s="508">
        <f t="shared" si="132"/>
        <v>641000</v>
      </c>
      <c r="AL388" s="116">
        <v>10</v>
      </c>
      <c r="AM388" s="486">
        <f t="shared" si="133"/>
        <v>3.56</v>
      </c>
      <c r="AN388" s="117">
        <f t="shared" ref="AN388:AN419" si="145">ROUND((AL388-AM388),0)</f>
        <v>6</v>
      </c>
      <c r="AO388" s="487">
        <f t="shared" si="134"/>
        <v>63</v>
      </c>
      <c r="AP388" s="610">
        <v>16</v>
      </c>
    </row>
    <row r="389" spans="1:42" ht="14.25" customHeight="1">
      <c r="A389" s="701">
        <v>383</v>
      </c>
      <c r="B389" s="477"/>
      <c r="C389" s="477" t="s">
        <v>1522</v>
      </c>
      <c r="D389" s="477" t="s">
        <v>1385</v>
      </c>
      <c r="E389" s="475" t="s">
        <v>1521</v>
      </c>
      <c r="F389" s="477"/>
      <c r="G389" s="482" t="s">
        <v>1947</v>
      </c>
      <c r="H389" s="482">
        <v>1</v>
      </c>
      <c r="I389" s="580">
        <v>41078</v>
      </c>
      <c r="J389" s="580">
        <v>41078</v>
      </c>
      <c r="K389" s="581">
        <v>3260</v>
      </c>
      <c r="L389" s="581">
        <v>0</v>
      </c>
      <c r="M389" s="582"/>
      <c r="N389" s="582"/>
      <c r="O389" s="582"/>
      <c r="P389" s="582">
        <f t="shared" si="119"/>
        <v>3260</v>
      </c>
      <c r="Q389" s="582">
        <f t="shared" si="120"/>
        <v>0</v>
      </c>
      <c r="R389" s="583">
        <f t="shared" si="121"/>
        <v>2700</v>
      </c>
      <c r="S389" s="668">
        <f t="shared" si="143"/>
        <v>13</v>
      </c>
      <c r="T389" s="584"/>
      <c r="U389" s="585">
        <f t="shared" si="144"/>
        <v>351</v>
      </c>
      <c r="V389" s="586" t="str">
        <f t="shared" si="123"/>
        <v/>
      </c>
      <c r="W389" s="477"/>
      <c r="X389" s="618">
        <f t="shared" ref="X389:X420" si="146">P389/H389</f>
        <v>3260</v>
      </c>
      <c r="Y389" s="618"/>
      <c r="Z389" s="489">
        <v>3200</v>
      </c>
      <c r="AA389" s="361">
        <f t="shared" si="124"/>
        <v>2735.04</v>
      </c>
      <c r="AB389" s="597"/>
      <c r="AC389" s="485">
        <f t="shared" si="125"/>
        <v>0</v>
      </c>
      <c r="AD389" s="597"/>
      <c r="AE389" s="485">
        <f t="shared" si="126"/>
        <v>0</v>
      </c>
      <c r="AF389" s="508">
        <f t="shared" si="127"/>
        <v>0</v>
      </c>
      <c r="AG389" s="508">
        <f t="shared" si="128"/>
        <v>0</v>
      </c>
      <c r="AH389" s="508">
        <f t="shared" si="129"/>
        <v>3200</v>
      </c>
      <c r="AI389" s="508">
        <f t="shared" si="130"/>
        <v>0</v>
      </c>
      <c r="AJ389" s="508">
        <f t="shared" si="131"/>
        <v>464.96</v>
      </c>
      <c r="AK389" s="508">
        <f t="shared" si="132"/>
        <v>2700</v>
      </c>
      <c r="AL389" s="116">
        <v>8</v>
      </c>
      <c r="AM389" s="486">
        <f t="shared" si="133"/>
        <v>5.45</v>
      </c>
      <c r="AN389" s="117">
        <f t="shared" si="145"/>
        <v>3</v>
      </c>
      <c r="AO389" s="487">
        <f t="shared" si="134"/>
        <v>36</v>
      </c>
      <c r="AP389" s="610">
        <f t="shared" ref="AP389:AP398" si="147">AO389*AP$4</f>
        <v>13</v>
      </c>
    </row>
    <row r="390" spans="1:42" ht="14.25" customHeight="1">
      <c r="A390" s="701">
        <v>384</v>
      </c>
      <c r="B390" s="477"/>
      <c r="C390" s="477" t="s">
        <v>1695</v>
      </c>
      <c r="D390" s="477" t="s">
        <v>1386</v>
      </c>
      <c r="E390" s="475" t="s">
        <v>1533</v>
      </c>
      <c r="F390" s="477"/>
      <c r="G390" s="482" t="s">
        <v>1947</v>
      </c>
      <c r="H390" s="482">
        <v>1</v>
      </c>
      <c r="I390" s="580">
        <v>41078</v>
      </c>
      <c r="J390" s="580">
        <v>41078</v>
      </c>
      <c r="K390" s="581">
        <v>4850</v>
      </c>
      <c r="L390" s="581">
        <v>0</v>
      </c>
      <c r="M390" s="582"/>
      <c r="N390" s="582"/>
      <c r="O390" s="582"/>
      <c r="P390" s="582">
        <f t="shared" si="119"/>
        <v>4850</v>
      </c>
      <c r="Q390" s="582">
        <f t="shared" si="120"/>
        <v>0</v>
      </c>
      <c r="R390" s="583">
        <f t="shared" si="121"/>
        <v>4100</v>
      </c>
      <c r="S390" s="668">
        <f t="shared" si="143"/>
        <v>13</v>
      </c>
      <c r="T390" s="584"/>
      <c r="U390" s="585">
        <f t="shared" si="144"/>
        <v>533</v>
      </c>
      <c r="V390" s="586" t="str">
        <f t="shared" si="123"/>
        <v/>
      </c>
      <c r="W390" s="477"/>
      <c r="X390" s="618">
        <f t="shared" si="146"/>
        <v>4850</v>
      </c>
      <c r="Y390" s="618"/>
      <c r="Z390" s="489">
        <v>4800</v>
      </c>
      <c r="AA390" s="361">
        <f t="shared" si="124"/>
        <v>4102.5600000000004</v>
      </c>
      <c r="AB390" s="597"/>
      <c r="AC390" s="485">
        <f t="shared" si="125"/>
        <v>0</v>
      </c>
      <c r="AD390" s="597"/>
      <c r="AE390" s="485">
        <f t="shared" si="126"/>
        <v>0</v>
      </c>
      <c r="AF390" s="508">
        <f t="shared" si="127"/>
        <v>0</v>
      </c>
      <c r="AG390" s="508">
        <f t="shared" si="128"/>
        <v>0</v>
      </c>
      <c r="AH390" s="508">
        <f t="shared" si="129"/>
        <v>4800</v>
      </c>
      <c r="AI390" s="508">
        <f t="shared" si="130"/>
        <v>0</v>
      </c>
      <c r="AJ390" s="508">
        <f t="shared" si="131"/>
        <v>697.44</v>
      </c>
      <c r="AK390" s="508">
        <f t="shared" si="132"/>
        <v>4100</v>
      </c>
      <c r="AL390" s="116">
        <v>8</v>
      </c>
      <c r="AM390" s="486">
        <f t="shared" si="133"/>
        <v>5.45</v>
      </c>
      <c r="AN390" s="117">
        <f t="shared" si="145"/>
        <v>3</v>
      </c>
      <c r="AO390" s="487">
        <f t="shared" si="134"/>
        <v>36</v>
      </c>
      <c r="AP390" s="610">
        <f t="shared" si="147"/>
        <v>13</v>
      </c>
    </row>
    <row r="391" spans="1:42" ht="14.25" customHeight="1">
      <c r="A391" s="701">
        <v>385</v>
      </c>
      <c r="B391" s="477"/>
      <c r="C391" s="477" t="s">
        <v>1477</v>
      </c>
      <c r="D391" s="477" t="s">
        <v>1387</v>
      </c>
      <c r="E391" s="475" t="s">
        <v>1478</v>
      </c>
      <c r="F391" s="477"/>
      <c r="G391" s="482" t="s">
        <v>1947</v>
      </c>
      <c r="H391" s="482">
        <v>1</v>
      </c>
      <c r="I391" s="580">
        <v>41078</v>
      </c>
      <c r="J391" s="580">
        <v>41078</v>
      </c>
      <c r="K391" s="581">
        <v>1620</v>
      </c>
      <c r="L391" s="581">
        <v>0</v>
      </c>
      <c r="M391" s="582"/>
      <c r="N391" s="582"/>
      <c r="O391" s="582"/>
      <c r="P391" s="582">
        <f t="shared" ref="P391:P454" si="148">K391+N391</f>
        <v>1620</v>
      </c>
      <c r="Q391" s="582">
        <f t="shared" ref="Q391:Q454" si="149">L391+O391</f>
        <v>0</v>
      </c>
      <c r="R391" s="583">
        <f t="shared" ref="R391:R454" si="150">AK391</f>
        <v>1400</v>
      </c>
      <c r="S391" s="668">
        <f t="shared" si="143"/>
        <v>13</v>
      </c>
      <c r="T391" s="584"/>
      <c r="U391" s="585">
        <f t="shared" si="144"/>
        <v>182</v>
      </c>
      <c r="V391" s="586" t="str">
        <f t="shared" ref="V391:V454" si="151">IF(Q391=0,"",(U391-Q391)/Q391*100)</f>
        <v/>
      </c>
      <c r="W391" s="477"/>
      <c r="X391" s="618">
        <f t="shared" si="146"/>
        <v>1620</v>
      </c>
      <c r="Y391" s="618"/>
      <c r="Z391" s="489">
        <v>1600</v>
      </c>
      <c r="AA391" s="361">
        <f t="shared" ref="AA391:AA454" si="152">Z391/1.17</f>
        <v>1367.52</v>
      </c>
      <c r="AB391" s="597"/>
      <c r="AC391" s="485">
        <f t="shared" ref="AC391:AC454" si="153">Z391*AB391</f>
        <v>0</v>
      </c>
      <c r="AD391" s="597"/>
      <c r="AE391" s="485">
        <f t="shared" ref="AE391:AE454" si="154">Z391*AD391</f>
        <v>0</v>
      </c>
      <c r="AF391" s="508">
        <f t="shared" ref="AF391:AF454" si="155">(Z391+AC391+AE391)*AF$4</f>
        <v>0</v>
      </c>
      <c r="AG391" s="508">
        <f t="shared" ref="AG391:AG454" si="156">(Z391+AC391+AE391)*AG$4</f>
        <v>0</v>
      </c>
      <c r="AH391" s="508">
        <f t="shared" ref="AH391:AH454" si="157">Z391+AC391+AE391+AF391</f>
        <v>1600</v>
      </c>
      <c r="AI391" s="508">
        <f t="shared" ref="AI391:AI454" si="158">AH391*AI$3*AI$4/2</f>
        <v>0</v>
      </c>
      <c r="AJ391" s="508">
        <f t="shared" ref="AJ391:AJ454" si="159">Z391*0.17/1.17+AC391*0.11/1.11+AE391*0.11/1.11+AF391-AG391</f>
        <v>232.48</v>
      </c>
      <c r="AK391" s="508">
        <f t="shared" ref="AK391:AK448" si="160">ROUND((Z391+AC391+AE391+AF391+AI391-AJ391)*H391,-2)</f>
        <v>1400</v>
      </c>
      <c r="AL391" s="116">
        <v>8</v>
      </c>
      <c r="AM391" s="486">
        <f t="shared" ref="AM391:AM454" si="161">(AM$4-J391)/365</f>
        <v>5.45</v>
      </c>
      <c r="AN391" s="117">
        <f t="shared" si="145"/>
        <v>3</v>
      </c>
      <c r="AO391" s="487">
        <f t="shared" ref="AO391:AO454" si="162">AN391/(AM391+AN391)*100</f>
        <v>36</v>
      </c>
      <c r="AP391" s="610">
        <f t="shared" si="147"/>
        <v>13</v>
      </c>
    </row>
    <row r="392" spans="1:42" ht="14.25" customHeight="1">
      <c r="A392" s="701">
        <v>386</v>
      </c>
      <c r="B392" s="477"/>
      <c r="C392" s="477" t="s">
        <v>1694</v>
      </c>
      <c r="D392" s="477" t="s">
        <v>1388</v>
      </c>
      <c r="E392" s="475" t="s">
        <v>1533</v>
      </c>
      <c r="F392" s="477"/>
      <c r="G392" s="579" t="s">
        <v>1967</v>
      </c>
      <c r="H392" s="482">
        <v>1</v>
      </c>
      <c r="I392" s="580">
        <v>41078</v>
      </c>
      <c r="J392" s="580">
        <v>41078</v>
      </c>
      <c r="K392" s="581">
        <v>1760</v>
      </c>
      <c r="L392" s="581">
        <v>0</v>
      </c>
      <c r="M392" s="582"/>
      <c r="N392" s="582"/>
      <c r="O392" s="582"/>
      <c r="P392" s="582">
        <f t="shared" si="148"/>
        <v>1760</v>
      </c>
      <c r="Q392" s="582">
        <f t="shared" si="149"/>
        <v>0</v>
      </c>
      <c r="R392" s="583">
        <f t="shared" si="150"/>
        <v>1500</v>
      </c>
      <c r="S392" s="668">
        <f t="shared" si="143"/>
        <v>13</v>
      </c>
      <c r="T392" s="584"/>
      <c r="U392" s="585">
        <f t="shared" si="144"/>
        <v>195</v>
      </c>
      <c r="V392" s="586" t="str">
        <f t="shared" si="151"/>
        <v/>
      </c>
      <c r="W392" s="477"/>
      <c r="X392" s="618">
        <f t="shared" si="146"/>
        <v>1760</v>
      </c>
      <c r="Y392" s="618"/>
      <c r="Z392" s="489">
        <v>1700</v>
      </c>
      <c r="AA392" s="361">
        <f t="shared" si="152"/>
        <v>1452.99</v>
      </c>
      <c r="AB392" s="597"/>
      <c r="AC392" s="485">
        <f t="shared" si="153"/>
        <v>0</v>
      </c>
      <c r="AD392" s="597"/>
      <c r="AE392" s="485">
        <f t="shared" si="154"/>
        <v>0</v>
      </c>
      <c r="AF392" s="508">
        <f t="shared" si="155"/>
        <v>0</v>
      </c>
      <c r="AG392" s="508">
        <f t="shared" si="156"/>
        <v>0</v>
      </c>
      <c r="AH392" s="508">
        <f t="shared" si="157"/>
        <v>1700</v>
      </c>
      <c r="AI392" s="508">
        <f t="shared" si="158"/>
        <v>0</v>
      </c>
      <c r="AJ392" s="508">
        <f t="shared" si="159"/>
        <v>247.01</v>
      </c>
      <c r="AK392" s="508">
        <f t="shared" si="160"/>
        <v>1500</v>
      </c>
      <c r="AL392" s="116">
        <v>8</v>
      </c>
      <c r="AM392" s="486">
        <f t="shared" si="161"/>
        <v>5.45</v>
      </c>
      <c r="AN392" s="117">
        <f t="shared" si="145"/>
        <v>3</v>
      </c>
      <c r="AO392" s="487">
        <f t="shared" si="162"/>
        <v>36</v>
      </c>
      <c r="AP392" s="610">
        <f t="shared" si="147"/>
        <v>13</v>
      </c>
    </row>
    <row r="393" spans="1:42" ht="14.25" customHeight="1">
      <c r="A393" s="701">
        <v>387</v>
      </c>
      <c r="B393" s="477"/>
      <c r="C393" s="477" t="s">
        <v>1693</v>
      </c>
      <c r="D393" s="477" t="s">
        <v>1388</v>
      </c>
      <c r="E393" s="475" t="s">
        <v>1533</v>
      </c>
      <c r="F393" s="477"/>
      <c r="G393" s="579" t="s">
        <v>1965</v>
      </c>
      <c r="H393" s="482">
        <v>2</v>
      </c>
      <c r="I393" s="580">
        <v>41078</v>
      </c>
      <c r="J393" s="580">
        <v>41078</v>
      </c>
      <c r="K393" s="581">
        <v>2520</v>
      </c>
      <c r="L393" s="581">
        <v>0</v>
      </c>
      <c r="M393" s="582"/>
      <c r="N393" s="582"/>
      <c r="O393" s="582"/>
      <c r="P393" s="582">
        <f t="shared" si="148"/>
        <v>2520</v>
      </c>
      <c r="Q393" s="582">
        <f t="shared" si="149"/>
        <v>0</v>
      </c>
      <c r="R393" s="583">
        <f t="shared" si="150"/>
        <v>2100</v>
      </c>
      <c r="S393" s="668">
        <f t="shared" si="143"/>
        <v>13</v>
      </c>
      <c r="T393" s="584"/>
      <c r="U393" s="585">
        <f t="shared" si="144"/>
        <v>273</v>
      </c>
      <c r="V393" s="586" t="str">
        <f t="shared" si="151"/>
        <v/>
      </c>
      <c r="W393" s="477"/>
      <c r="X393" s="618">
        <f t="shared" si="146"/>
        <v>1260</v>
      </c>
      <c r="Y393" s="618"/>
      <c r="Z393" s="489">
        <v>1200</v>
      </c>
      <c r="AA393" s="361">
        <f t="shared" si="152"/>
        <v>1025.6400000000001</v>
      </c>
      <c r="AB393" s="597"/>
      <c r="AC393" s="485">
        <f t="shared" si="153"/>
        <v>0</v>
      </c>
      <c r="AD393" s="597"/>
      <c r="AE393" s="485">
        <f t="shared" si="154"/>
        <v>0</v>
      </c>
      <c r="AF393" s="508">
        <f t="shared" si="155"/>
        <v>0</v>
      </c>
      <c r="AG393" s="508">
        <f t="shared" si="156"/>
        <v>0</v>
      </c>
      <c r="AH393" s="508">
        <f t="shared" si="157"/>
        <v>1200</v>
      </c>
      <c r="AI393" s="508">
        <f t="shared" si="158"/>
        <v>0</v>
      </c>
      <c r="AJ393" s="508">
        <f t="shared" si="159"/>
        <v>174.36</v>
      </c>
      <c r="AK393" s="508">
        <f t="shared" si="160"/>
        <v>2100</v>
      </c>
      <c r="AL393" s="116">
        <v>8</v>
      </c>
      <c r="AM393" s="486">
        <f t="shared" si="161"/>
        <v>5.45</v>
      </c>
      <c r="AN393" s="117">
        <f t="shared" si="145"/>
        <v>3</v>
      </c>
      <c r="AO393" s="487">
        <f t="shared" si="162"/>
        <v>36</v>
      </c>
      <c r="AP393" s="610">
        <f t="shared" si="147"/>
        <v>13</v>
      </c>
    </row>
    <row r="394" spans="1:42" ht="14.25" customHeight="1">
      <c r="A394" s="701">
        <v>388</v>
      </c>
      <c r="B394" s="477"/>
      <c r="C394" s="477" t="s">
        <v>1692</v>
      </c>
      <c r="D394" s="477" t="s">
        <v>1388</v>
      </c>
      <c r="E394" s="475" t="s">
        <v>1533</v>
      </c>
      <c r="F394" s="477"/>
      <c r="G394" s="579" t="s">
        <v>1965</v>
      </c>
      <c r="H394" s="482">
        <v>1</v>
      </c>
      <c r="I394" s="580">
        <v>41078</v>
      </c>
      <c r="J394" s="580">
        <v>41078</v>
      </c>
      <c r="K394" s="581">
        <v>2480</v>
      </c>
      <c r="L394" s="581">
        <v>0</v>
      </c>
      <c r="M394" s="582"/>
      <c r="N394" s="582"/>
      <c r="O394" s="582"/>
      <c r="P394" s="582">
        <f t="shared" si="148"/>
        <v>2480</v>
      </c>
      <c r="Q394" s="582">
        <f t="shared" si="149"/>
        <v>0</v>
      </c>
      <c r="R394" s="583">
        <f t="shared" si="150"/>
        <v>2100</v>
      </c>
      <c r="S394" s="668">
        <f t="shared" si="143"/>
        <v>13</v>
      </c>
      <c r="T394" s="584"/>
      <c r="U394" s="585">
        <f t="shared" si="144"/>
        <v>273</v>
      </c>
      <c r="V394" s="586" t="str">
        <f t="shared" si="151"/>
        <v/>
      </c>
      <c r="W394" s="477"/>
      <c r="X394" s="618">
        <f t="shared" si="146"/>
        <v>2480</v>
      </c>
      <c r="Y394" s="618"/>
      <c r="Z394" s="489">
        <v>2400</v>
      </c>
      <c r="AA394" s="361">
        <f t="shared" si="152"/>
        <v>2051.2800000000002</v>
      </c>
      <c r="AB394" s="597"/>
      <c r="AC394" s="485">
        <f t="shared" si="153"/>
        <v>0</v>
      </c>
      <c r="AD394" s="597"/>
      <c r="AE394" s="485">
        <f t="shared" si="154"/>
        <v>0</v>
      </c>
      <c r="AF394" s="508">
        <f t="shared" si="155"/>
        <v>0</v>
      </c>
      <c r="AG394" s="508">
        <f t="shared" si="156"/>
        <v>0</v>
      </c>
      <c r="AH394" s="508">
        <f t="shared" si="157"/>
        <v>2400</v>
      </c>
      <c r="AI394" s="508">
        <f t="shared" si="158"/>
        <v>0</v>
      </c>
      <c r="AJ394" s="508">
        <f t="shared" si="159"/>
        <v>348.72</v>
      </c>
      <c r="AK394" s="508">
        <f t="shared" si="160"/>
        <v>2100</v>
      </c>
      <c r="AL394" s="116">
        <v>8</v>
      </c>
      <c r="AM394" s="486">
        <f t="shared" si="161"/>
        <v>5.45</v>
      </c>
      <c r="AN394" s="117">
        <f t="shared" si="145"/>
        <v>3</v>
      </c>
      <c r="AO394" s="487">
        <f t="shared" si="162"/>
        <v>36</v>
      </c>
      <c r="AP394" s="610">
        <f t="shared" si="147"/>
        <v>13</v>
      </c>
    </row>
    <row r="395" spans="1:42" ht="14.25" customHeight="1">
      <c r="A395" s="701">
        <v>389</v>
      </c>
      <c r="B395" s="477"/>
      <c r="C395" s="477" t="s">
        <v>1677</v>
      </c>
      <c r="D395" s="477" t="s">
        <v>1389</v>
      </c>
      <c r="E395" s="475" t="s">
        <v>1533</v>
      </c>
      <c r="F395" s="477"/>
      <c r="G395" s="579" t="s">
        <v>1967</v>
      </c>
      <c r="H395" s="482">
        <v>1</v>
      </c>
      <c r="I395" s="580">
        <v>41078</v>
      </c>
      <c r="J395" s="580">
        <v>41078</v>
      </c>
      <c r="K395" s="581">
        <v>3220</v>
      </c>
      <c r="L395" s="581">
        <v>0</v>
      </c>
      <c r="M395" s="582"/>
      <c r="N395" s="582"/>
      <c r="O395" s="582"/>
      <c r="P395" s="582">
        <f t="shared" si="148"/>
        <v>3220</v>
      </c>
      <c r="Q395" s="582">
        <f t="shared" si="149"/>
        <v>0</v>
      </c>
      <c r="R395" s="583">
        <f t="shared" si="150"/>
        <v>2700</v>
      </c>
      <c r="S395" s="668">
        <f t="shared" si="143"/>
        <v>13</v>
      </c>
      <c r="T395" s="584"/>
      <c r="U395" s="585">
        <f t="shared" si="144"/>
        <v>351</v>
      </c>
      <c r="V395" s="586" t="str">
        <f t="shared" si="151"/>
        <v/>
      </c>
      <c r="W395" s="477"/>
      <c r="X395" s="618">
        <f t="shared" si="146"/>
        <v>3220</v>
      </c>
      <c r="Y395" s="618"/>
      <c r="Z395" s="489">
        <v>3200</v>
      </c>
      <c r="AA395" s="361">
        <f t="shared" si="152"/>
        <v>2735.04</v>
      </c>
      <c r="AB395" s="597"/>
      <c r="AC395" s="485">
        <f t="shared" si="153"/>
        <v>0</v>
      </c>
      <c r="AD395" s="597"/>
      <c r="AE395" s="485">
        <f t="shared" si="154"/>
        <v>0</v>
      </c>
      <c r="AF395" s="508">
        <f t="shared" si="155"/>
        <v>0</v>
      </c>
      <c r="AG395" s="508">
        <f t="shared" si="156"/>
        <v>0</v>
      </c>
      <c r="AH395" s="508">
        <f t="shared" si="157"/>
        <v>3200</v>
      </c>
      <c r="AI395" s="508">
        <f t="shared" si="158"/>
        <v>0</v>
      </c>
      <c r="AJ395" s="508">
        <f t="shared" si="159"/>
        <v>464.96</v>
      </c>
      <c r="AK395" s="508">
        <f t="shared" si="160"/>
        <v>2700</v>
      </c>
      <c r="AL395" s="116">
        <v>8</v>
      </c>
      <c r="AM395" s="486">
        <f t="shared" si="161"/>
        <v>5.45</v>
      </c>
      <c r="AN395" s="117">
        <f t="shared" si="145"/>
        <v>3</v>
      </c>
      <c r="AO395" s="487">
        <f t="shared" si="162"/>
        <v>36</v>
      </c>
      <c r="AP395" s="610">
        <f t="shared" si="147"/>
        <v>13</v>
      </c>
    </row>
    <row r="396" spans="1:42" ht="14.25" customHeight="1">
      <c r="A396" s="701">
        <v>390</v>
      </c>
      <c r="B396" s="477"/>
      <c r="C396" s="477" t="s">
        <v>1503</v>
      </c>
      <c r="D396" s="477"/>
      <c r="E396" s="475" t="s">
        <v>1478</v>
      </c>
      <c r="F396" s="477"/>
      <c r="G396" s="482" t="s">
        <v>1947</v>
      </c>
      <c r="H396" s="482">
        <v>16</v>
      </c>
      <c r="I396" s="580">
        <v>41078</v>
      </c>
      <c r="J396" s="580">
        <v>41078</v>
      </c>
      <c r="K396" s="581">
        <v>560</v>
      </c>
      <c r="L396" s="581">
        <v>0</v>
      </c>
      <c r="M396" s="582"/>
      <c r="N396" s="582"/>
      <c r="O396" s="582"/>
      <c r="P396" s="582">
        <f t="shared" si="148"/>
        <v>560</v>
      </c>
      <c r="Q396" s="582">
        <f t="shared" si="149"/>
        <v>0</v>
      </c>
      <c r="R396" s="583">
        <f t="shared" si="150"/>
        <v>400</v>
      </c>
      <c r="S396" s="668">
        <f t="shared" si="143"/>
        <v>13</v>
      </c>
      <c r="T396" s="584"/>
      <c r="U396" s="585">
        <f t="shared" si="144"/>
        <v>52</v>
      </c>
      <c r="V396" s="586" t="str">
        <f t="shared" si="151"/>
        <v/>
      </c>
      <c r="W396" s="477"/>
      <c r="X396" s="618">
        <f t="shared" si="146"/>
        <v>35</v>
      </c>
      <c r="Y396" s="618"/>
      <c r="Z396" s="489">
        <v>30</v>
      </c>
      <c r="AA396" s="361">
        <f t="shared" si="152"/>
        <v>25.64</v>
      </c>
      <c r="AB396" s="597"/>
      <c r="AC396" s="485">
        <f t="shared" si="153"/>
        <v>0</v>
      </c>
      <c r="AD396" s="597"/>
      <c r="AE396" s="485">
        <f t="shared" si="154"/>
        <v>0</v>
      </c>
      <c r="AF396" s="508">
        <f t="shared" si="155"/>
        <v>0</v>
      </c>
      <c r="AG396" s="508">
        <f t="shared" si="156"/>
        <v>0</v>
      </c>
      <c r="AH396" s="508">
        <f t="shared" si="157"/>
        <v>30</v>
      </c>
      <c r="AI396" s="508">
        <f t="shared" si="158"/>
        <v>0</v>
      </c>
      <c r="AJ396" s="508">
        <f t="shared" si="159"/>
        <v>4.3600000000000003</v>
      </c>
      <c r="AK396" s="508">
        <f t="shared" si="160"/>
        <v>400</v>
      </c>
      <c r="AL396" s="116">
        <v>8</v>
      </c>
      <c r="AM396" s="486">
        <f t="shared" si="161"/>
        <v>5.45</v>
      </c>
      <c r="AN396" s="117">
        <f t="shared" si="145"/>
        <v>3</v>
      </c>
      <c r="AO396" s="487">
        <f t="shared" si="162"/>
        <v>36</v>
      </c>
      <c r="AP396" s="610">
        <f t="shared" si="147"/>
        <v>13</v>
      </c>
    </row>
    <row r="397" spans="1:42" ht="14.25" customHeight="1">
      <c r="A397" s="701">
        <v>391</v>
      </c>
      <c r="B397" s="477"/>
      <c r="C397" s="477" t="s">
        <v>1781</v>
      </c>
      <c r="D397" s="477" t="s">
        <v>1390</v>
      </c>
      <c r="E397" s="475" t="s">
        <v>1779</v>
      </c>
      <c r="F397" s="477"/>
      <c r="G397" s="482" t="s">
        <v>1947</v>
      </c>
      <c r="H397" s="482">
        <v>1</v>
      </c>
      <c r="I397" s="580">
        <v>41078</v>
      </c>
      <c r="J397" s="580">
        <v>41078</v>
      </c>
      <c r="K397" s="581">
        <v>1480</v>
      </c>
      <c r="L397" s="581">
        <v>0</v>
      </c>
      <c r="M397" s="582"/>
      <c r="N397" s="582"/>
      <c r="O397" s="582"/>
      <c r="P397" s="582">
        <f t="shared" si="148"/>
        <v>1480</v>
      </c>
      <c r="Q397" s="582">
        <f t="shared" si="149"/>
        <v>0</v>
      </c>
      <c r="R397" s="583">
        <f t="shared" si="150"/>
        <v>1200</v>
      </c>
      <c r="S397" s="668">
        <f t="shared" si="143"/>
        <v>13</v>
      </c>
      <c r="T397" s="584"/>
      <c r="U397" s="585">
        <f t="shared" si="144"/>
        <v>156</v>
      </c>
      <c r="V397" s="586" t="str">
        <f t="shared" si="151"/>
        <v/>
      </c>
      <c r="W397" s="477"/>
      <c r="X397" s="618">
        <f t="shared" si="146"/>
        <v>1480</v>
      </c>
      <c r="Y397" s="618"/>
      <c r="Z397" s="489">
        <v>1400</v>
      </c>
      <c r="AA397" s="361">
        <f t="shared" si="152"/>
        <v>1196.58</v>
      </c>
      <c r="AB397" s="597"/>
      <c r="AC397" s="485">
        <f t="shared" si="153"/>
        <v>0</v>
      </c>
      <c r="AD397" s="597"/>
      <c r="AE397" s="485">
        <f t="shared" si="154"/>
        <v>0</v>
      </c>
      <c r="AF397" s="508">
        <f t="shared" si="155"/>
        <v>0</v>
      </c>
      <c r="AG397" s="508">
        <f t="shared" si="156"/>
        <v>0</v>
      </c>
      <c r="AH397" s="508">
        <f t="shared" si="157"/>
        <v>1400</v>
      </c>
      <c r="AI397" s="508">
        <f t="shared" si="158"/>
        <v>0</v>
      </c>
      <c r="AJ397" s="508">
        <f t="shared" si="159"/>
        <v>203.42</v>
      </c>
      <c r="AK397" s="508">
        <f t="shared" si="160"/>
        <v>1200</v>
      </c>
      <c r="AL397" s="116">
        <v>8</v>
      </c>
      <c r="AM397" s="486">
        <f t="shared" si="161"/>
        <v>5.45</v>
      </c>
      <c r="AN397" s="117">
        <f t="shared" si="145"/>
        <v>3</v>
      </c>
      <c r="AO397" s="487">
        <f t="shared" si="162"/>
        <v>36</v>
      </c>
      <c r="AP397" s="610">
        <f t="shared" si="147"/>
        <v>13</v>
      </c>
    </row>
    <row r="398" spans="1:42" ht="14.25" customHeight="1">
      <c r="A398" s="701">
        <v>392</v>
      </c>
      <c r="B398" s="477"/>
      <c r="C398" s="611" t="s">
        <v>2052</v>
      </c>
      <c r="D398" s="477" t="s">
        <v>1388</v>
      </c>
      <c r="E398" s="475" t="s">
        <v>1533</v>
      </c>
      <c r="F398" s="477"/>
      <c r="G398" s="482" t="s">
        <v>1947</v>
      </c>
      <c r="H398" s="482">
        <v>1</v>
      </c>
      <c r="I398" s="580">
        <v>41078</v>
      </c>
      <c r="J398" s="580">
        <v>41078</v>
      </c>
      <c r="K398" s="581">
        <v>1260</v>
      </c>
      <c r="L398" s="581">
        <v>0</v>
      </c>
      <c r="M398" s="582"/>
      <c r="N398" s="582"/>
      <c r="O398" s="582"/>
      <c r="P398" s="582">
        <f t="shared" si="148"/>
        <v>1260</v>
      </c>
      <c r="Q398" s="582">
        <f t="shared" si="149"/>
        <v>0</v>
      </c>
      <c r="R398" s="583">
        <f t="shared" si="150"/>
        <v>1000</v>
      </c>
      <c r="S398" s="668">
        <f t="shared" si="143"/>
        <v>13</v>
      </c>
      <c r="T398" s="584"/>
      <c r="U398" s="585">
        <f t="shared" si="144"/>
        <v>130</v>
      </c>
      <c r="V398" s="586" t="str">
        <f t="shared" si="151"/>
        <v/>
      </c>
      <c r="W398" s="477"/>
      <c r="X398" s="618">
        <f t="shared" si="146"/>
        <v>1260</v>
      </c>
      <c r="Y398" s="618"/>
      <c r="Z398" s="489">
        <v>1200</v>
      </c>
      <c r="AA398" s="361">
        <f t="shared" si="152"/>
        <v>1025.6400000000001</v>
      </c>
      <c r="AB398" s="597"/>
      <c r="AC398" s="485">
        <f t="shared" si="153"/>
        <v>0</v>
      </c>
      <c r="AD398" s="597"/>
      <c r="AE398" s="485">
        <f t="shared" si="154"/>
        <v>0</v>
      </c>
      <c r="AF398" s="508">
        <f t="shared" si="155"/>
        <v>0</v>
      </c>
      <c r="AG398" s="508">
        <f t="shared" si="156"/>
        <v>0</v>
      </c>
      <c r="AH398" s="508">
        <f t="shared" si="157"/>
        <v>1200</v>
      </c>
      <c r="AI398" s="508">
        <f t="shared" si="158"/>
        <v>0</v>
      </c>
      <c r="AJ398" s="508">
        <f t="shared" si="159"/>
        <v>174.36</v>
      </c>
      <c r="AK398" s="508">
        <f t="shared" si="160"/>
        <v>1000</v>
      </c>
      <c r="AL398" s="116">
        <v>8</v>
      </c>
      <c r="AM398" s="486">
        <f t="shared" si="161"/>
        <v>5.45</v>
      </c>
      <c r="AN398" s="117">
        <f t="shared" si="145"/>
        <v>3</v>
      </c>
      <c r="AO398" s="487">
        <f t="shared" si="162"/>
        <v>36</v>
      </c>
      <c r="AP398" s="610">
        <f t="shared" si="147"/>
        <v>13</v>
      </c>
    </row>
    <row r="399" spans="1:42" ht="14.25" customHeight="1">
      <c r="A399" s="701">
        <v>393</v>
      </c>
      <c r="B399" s="477"/>
      <c r="C399" s="477" t="s">
        <v>1646</v>
      </c>
      <c r="D399" s="477" t="s">
        <v>1391</v>
      </c>
      <c r="E399" s="475" t="s">
        <v>1533</v>
      </c>
      <c r="F399" s="477"/>
      <c r="G399" s="482" t="s">
        <v>1943</v>
      </c>
      <c r="H399" s="482">
        <v>1</v>
      </c>
      <c r="I399" s="580">
        <v>41078</v>
      </c>
      <c r="J399" s="580">
        <v>41078</v>
      </c>
      <c r="K399" s="581">
        <v>680</v>
      </c>
      <c r="L399" s="581">
        <v>0</v>
      </c>
      <c r="M399" s="582"/>
      <c r="N399" s="582"/>
      <c r="O399" s="582"/>
      <c r="P399" s="582">
        <f t="shared" si="148"/>
        <v>680</v>
      </c>
      <c r="Q399" s="582">
        <f t="shared" si="149"/>
        <v>0</v>
      </c>
      <c r="R399" s="583">
        <f t="shared" si="150"/>
        <v>500</v>
      </c>
      <c r="S399" s="668">
        <f t="shared" si="143"/>
        <v>10</v>
      </c>
      <c r="T399" s="584"/>
      <c r="U399" s="585">
        <f t="shared" si="144"/>
        <v>50</v>
      </c>
      <c r="V399" s="586" t="str">
        <f t="shared" si="151"/>
        <v/>
      </c>
      <c r="W399" s="477"/>
      <c r="X399" s="618">
        <f t="shared" si="146"/>
        <v>680</v>
      </c>
      <c r="Y399" s="618"/>
      <c r="Z399" s="489">
        <v>600</v>
      </c>
      <c r="AA399" s="361">
        <f t="shared" si="152"/>
        <v>512.82000000000005</v>
      </c>
      <c r="AB399" s="597"/>
      <c r="AC399" s="485">
        <f t="shared" si="153"/>
        <v>0</v>
      </c>
      <c r="AD399" s="597"/>
      <c r="AE399" s="485">
        <f t="shared" si="154"/>
        <v>0</v>
      </c>
      <c r="AF399" s="508">
        <f t="shared" si="155"/>
        <v>0</v>
      </c>
      <c r="AG399" s="508">
        <f t="shared" si="156"/>
        <v>0</v>
      </c>
      <c r="AH399" s="508">
        <f t="shared" si="157"/>
        <v>600</v>
      </c>
      <c r="AI399" s="508">
        <f t="shared" si="158"/>
        <v>0</v>
      </c>
      <c r="AJ399" s="508">
        <f t="shared" si="159"/>
        <v>87.18</v>
      </c>
      <c r="AK399" s="508">
        <f t="shared" si="160"/>
        <v>500</v>
      </c>
      <c r="AL399" s="116">
        <v>6</v>
      </c>
      <c r="AM399" s="486">
        <f t="shared" si="161"/>
        <v>5.45</v>
      </c>
      <c r="AN399" s="117">
        <f t="shared" si="145"/>
        <v>1</v>
      </c>
      <c r="AO399" s="487">
        <f t="shared" si="162"/>
        <v>16</v>
      </c>
      <c r="AP399" s="669">
        <v>10</v>
      </c>
    </row>
    <row r="400" spans="1:42" ht="14.25" customHeight="1">
      <c r="A400" s="701">
        <v>394</v>
      </c>
      <c r="B400" s="477"/>
      <c r="C400" s="477" t="s">
        <v>1582</v>
      </c>
      <c r="D400" s="477" t="s">
        <v>1392</v>
      </c>
      <c r="E400" s="475" t="s">
        <v>1575</v>
      </c>
      <c r="F400" s="477"/>
      <c r="G400" s="482" t="s">
        <v>1943</v>
      </c>
      <c r="H400" s="482">
        <v>1</v>
      </c>
      <c r="I400" s="580">
        <v>41078</v>
      </c>
      <c r="J400" s="580">
        <v>41078</v>
      </c>
      <c r="K400" s="581">
        <v>3220</v>
      </c>
      <c r="L400" s="581">
        <v>0</v>
      </c>
      <c r="M400" s="582"/>
      <c r="N400" s="582"/>
      <c r="O400" s="582"/>
      <c r="P400" s="582">
        <f t="shared" si="148"/>
        <v>3220</v>
      </c>
      <c r="Q400" s="582">
        <f t="shared" si="149"/>
        <v>0</v>
      </c>
      <c r="R400" s="583">
        <f t="shared" si="150"/>
        <v>2700</v>
      </c>
      <c r="S400" s="668">
        <f t="shared" si="143"/>
        <v>13</v>
      </c>
      <c r="T400" s="584"/>
      <c r="U400" s="585">
        <f t="shared" si="144"/>
        <v>351</v>
      </c>
      <c r="V400" s="586" t="str">
        <f t="shared" si="151"/>
        <v/>
      </c>
      <c r="W400" s="477"/>
      <c r="X400" s="618">
        <f t="shared" si="146"/>
        <v>3220</v>
      </c>
      <c r="Y400" s="618"/>
      <c r="Z400" s="489">
        <v>3200</v>
      </c>
      <c r="AA400" s="361">
        <f t="shared" si="152"/>
        <v>2735.04</v>
      </c>
      <c r="AB400" s="597"/>
      <c r="AC400" s="485">
        <f t="shared" si="153"/>
        <v>0</v>
      </c>
      <c r="AD400" s="597"/>
      <c r="AE400" s="485">
        <f t="shared" si="154"/>
        <v>0</v>
      </c>
      <c r="AF400" s="508">
        <f t="shared" si="155"/>
        <v>0</v>
      </c>
      <c r="AG400" s="508">
        <f t="shared" si="156"/>
        <v>0</v>
      </c>
      <c r="AH400" s="508">
        <f t="shared" si="157"/>
        <v>3200</v>
      </c>
      <c r="AI400" s="508">
        <f t="shared" si="158"/>
        <v>0</v>
      </c>
      <c r="AJ400" s="508">
        <f t="shared" si="159"/>
        <v>464.96</v>
      </c>
      <c r="AK400" s="508">
        <f t="shared" si="160"/>
        <v>2700</v>
      </c>
      <c r="AL400" s="116">
        <v>8</v>
      </c>
      <c r="AM400" s="486">
        <f t="shared" si="161"/>
        <v>5.45</v>
      </c>
      <c r="AN400" s="117">
        <f t="shared" si="145"/>
        <v>3</v>
      </c>
      <c r="AO400" s="487">
        <f t="shared" si="162"/>
        <v>36</v>
      </c>
      <c r="AP400" s="610">
        <f t="shared" ref="AP400:AP409" si="163">AO400*AP$4</f>
        <v>13</v>
      </c>
    </row>
    <row r="401" spans="1:42" ht="14.25" customHeight="1">
      <c r="A401" s="701">
        <v>395</v>
      </c>
      <c r="B401" s="477"/>
      <c r="C401" s="477" t="s">
        <v>1742</v>
      </c>
      <c r="D401" s="477" t="s">
        <v>1393</v>
      </c>
      <c r="E401" s="475" t="s">
        <v>1743</v>
      </c>
      <c r="F401" s="477"/>
      <c r="G401" s="482" t="s">
        <v>1943</v>
      </c>
      <c r="H401" s="482">
        <v>1</v>
      </c>
      <c r="I401" s="580">
        <v>41078</v>
      </c>
      <c r="J401" s="580">
        <v>41078</v>
      </c>
      <c r="K401" s="581">
        <v>3480</v>
      </c>
      <c r="L401" s="581">
        <v>0</v>
      </c>
      <c r="M401" s="582"/>
      <c r="N401" s="582"/>
      <c r="O401" s="582"/>
      <c r="P401" s="582">
        <f t="shared" si="148"/>
        <v>3480</v>
      </c>
      <c r="Q401" s="582">
        <f t="shared" si="149"/>
        <v>0</v>
      </c>
      <c r="R401" s="583">
        <f t="shared" si="150"/>
        <v>2900</v>
      </c>
      <c r="S401" s="668">
        <f t="shared" si="143"/>
        <v>13</v>
      </c>
      <c r="T401" s="584"/>
      <c r="U401" s="585">
        <f t="shared" si="144"/>
        <v>377</v>
      </c>
      <c r="V401" s="586" t="str">
        <f t="shared" si="151"/>
        <v/>
      </c>
      <c r="W401" s="477"/>
      <c r="X401" s="618">
        <f t="shared" si="146"/>
        <v>3480</v>
      </c>
      <c r="Y401" s="618"/>
      <c r="Z401" s="489">
        <v>3400</v>
      </c>
      <c r="AA401" s="361">
        <f t="shared" si="152"/>
        <v>2905.98</v>
      </c>
      <c r="AB401" s="597"/>
      <c r="AC401" s="485">
        <f t="shared" si="153"/>
        <v>0</v>
      </c>
      <c r="AD401" s="597"/>
      <c r="AE401" s="485">
        <f t="shared" si="154"/>
        <v>0</v>
      </c>
      <c r="AF401" s="508">
        <f t="shared" si="155"/>
        <v>0</v>
      </c>
      <c r="AG401" s="508">
        <f t="shared" si="156"/>
        <v>0</v>
      </c>
      <c r="AH401" s="508">
        <f t="shared" si="157"/>
        <v>3400</v>
      </c>
      <c r="AI401" s="508">
        <f t="shared" si="158"/>
        <v>0</v>
      </c>
      <c r="AJ401" s="508">
        <f t="shared" si="159"/>
        <v>494.02</v>
      </c>
      <c r="AK401" s="508">
        <f t="shared" si="160"/>
        <v>2900</v>
      </c>
      <c r="AL401" s="116">
        <v>8</v>
      </c>
      <c r="AM401" s="486">
        <f t="shared" si="161"/>
        <v>5.45</v>
      </c>
      <c r="AN401" s="117">
        <f t="shared" si="145"/>
        <v>3</v>
      </c>
      <c r="AO401" s="487">
        <f t="shared" si="162"/>
        <v>36</v>
      </c>
      <c r="AP401" s="610">
        <f t="shared" si="163"/>
        <v>13</v>
      </c>
    </row>
    <row r="402" spans="1:42" ht="14.25" customHeight="1">
      <c r="A402" s="701">
        <v>396</v>
      </c>
      <c r="B402" s="477"/>
      <c r="C402" s="477" t="s">
        <v>1643</v>
      </c>
      <c r="D402" s="477"/>
      <c r="E402" s="475" t="s">
        <v>1533</v>
      </c>
      <c r="F402" s="477"/>
      <c r="G402" s="482" t="s">
        <v>1943</v>
      </c>
      <c r="H402" s="482">
        <v>1</v>
      </c>
      <c r="I402" s="580">
        <v>41078</v>
      </c>
      <c r="J402" s="580">
        <v>41078</v>
      </c>
      <c r="K402" s="581">
        <v>360</v>
      </c>
      <c r="L402" s="581">
        <v>0</v>
      </c>
      <c r="M402" s="582"/>
      <c r="N402" s="582"/>
      <c r="O402" s="582"/>
      <c r="P402" s="582">
        <f t="shared" si="148"/>
        <v>360</v>
      </c>
      <c r="Q402" s="582">
        <f t="shared" si="149"/>
        <v>0</v>
      </c>
      <c r="R402" s="583">
        <f t="shared" si="150"/>
        <v>300</v>
      </c>
      <c r="S402" s="668">
        <f t="shared" si="143"/>
        <v>13</v>
      </c>
      <c r="T402" s="584"/>
      <c r="U402" s="585">
        <f t="shared" si="144"/>
        <v>39</v>
      </c>
      <c r="V402" s="586" t="str">
        <f t="shared" si="151"/>
        <v/>
      </c>
      <c r="W402" s="477"/>
      <c r="X402" s="618">
        <f t="shared" si="146"/>
        <v>360</v>
      </c>
      <c r="Y402" s="618"/>
      <c r="Z402" s="489">
        <v>350</v>
      </c>
      <c r="AA402" s="361">
        <f t="shared" si="152"/>
        <v>299.14999999999998</v>
      </c>
      <c r="AB402" s="597"/>
      <c r="AC402" s="485">
        <f t="shared" si="153"/>
        <v>0</v>
      </c>
      <c r="AD402" s="597"/>
      <c r="AE402" s="485">
        <f t="shared" si="154"/>
        <v>0</v>
      </c>
      <c r="AF402" s="508">
        <f t="shared" si="155"/>
        <v>0</v>
      </c>
      <c r="AG402" s="508">
        <f t="shared" si="156"/>
        <v>0</v>
      </c>
      <c r="AH402" s="508">
        <f t="shared" si="157"/>
        <v>350</v>
      </c>
      <c r="AI402" s="508">
        <f t="shared" si="158"/>
        <v>0</v>
      </c>
      <c r="AJ402" s="508">
        <f t="shared" si="159"/>
        <v>50.85</v>
      </c>
      <c r="AK402" s="508">
        <f t="shared" si="160"/>
        <v>300</v>
      </c>
      <c r="AL402" s="116">
        <v>8</v>
      </c>
      <c r="AM402" s="486">
        <f t="shared" si="161"/>
        <v>5.45</v>
      </c>
      <c r="AN402" s="117">
        <f t="shared" si="145"/>
        <v>3</v>
      </c>
      <c r="AO402" s="487">
        <f t="shared" si="162"/>
        <v>36</v>
      </c>
      <c r="AP402" s="610">
        <f t="shared" si="163"/>
        <v>13</v>
      </c>
    </row>
    <row r="403" spans="1:42" ht="14.25" customHeight="1">
      <c r="A403" s="701">
        <v>397</v>
      </c>
      <c r="B403" s="477"/>
      <c r="C403" s="477" t="s">
        <v>1675</v>
      </c>
      <c r="D403" s="477" t="s">
        <v>1394</v>
      </c>
      <c r="E403" s="475" t="s">
        <v>1533</v>
      </c>
      <c r="F403" s="477"/>
      <c r="G403" s="482" t="s">
        <v>1943</v>
      </c>
      <c r="H403" s="482">
        <v>1</v>
      </c>
      <c r="I403" s="580">
        <v>41078</v>
      </c>
      <c r="J403" s="580">
        <v>41078</v>
      </c>
      <c r="K403" s="581">
        <v>120</v>
      </c>
      <c r="L403" s="581">
        <v>0</v>
      </c>
      <c r="M403" s="582"/>
      <c r="N403" s="582"/>
      <c r="O403" s="582"/>
      <c r="P403" s="582">
        <f t="shared" si="148"/>
        <v>120</v>
      </c>
      <c r="Q403" s="582">
        <f t="shared" si="149"/>
        <v>0</v>
      </c>
      <c r="R403" s="583">
        <f t="shared" si="150"/>
        <v>100</v>
      </c>
      <c r="S403" s="668">
        <f t="shared" si="143"/>
        <v>13</v>
      </c>
      <c r="T403" s="584"/>
      <c r="U403" s="585">
        <f t="shared" si="144"/>
        <v>13</v>
      </c>
      <c r="V403" s="586" t="str">
        <f t="shared" si="151"/>
        <v/>
      </c>
      <c r="W403" s="477"/>
      <c r="X403" s="618">
        <f t="shared" si="146"/>
        <v>120</v>
      </c>
      <c r="Y403" s="618"/>
      <c r="Z403" s="489">
        <v>100</v>
      </c>
      <c r="AA403" s="361">
        <f t="shared" si="152"/>
        <v>85.47</v>
      </c>
      <c r="AB403" s="597"/>
      <c r="AC403" s="485">
        <f t="shared" si="153"/>
        <v>0</v>
      </c>
      <c r="AD403" s="597"/>
      <c r="AE403" s="485">
        <f t="shared" si="154"/>
        <v>0</v>
      </c>
      <c r="AF403" s="508">
        <f t="shared" si="155"/>
        <v>0</v>
      </c>
      <c r="AG403" s="508">
        <f t="shared" si="156"/>
        <v>0</v>
      </c>
      <c r="AH403" s="508">
        <f t="shared" si="157"/>
        <v>100</v>
      </c>
      <c r="AI403" s="508">
        <f t="shared" si="158"/>
        <v>0</v>
      </c>
      <c r="AJ403" s="508">
        <f t="shared" si="159"/>
        <v>14.53</v>
      </c>
      <c r="AK403" s="508">
        <f t="shared" si="160"/>
        <v>100</v>
      </c>
      <c r="AL403" s="116">
        <v>8</v>
      </c>
      <c r="AM403" s="486">
        <f t="shared" si="161"/>
        <v>5.45</v>
      </c>
      <c r="AN403" s="117">
        <f t="shared" si="145"/>
        <v>3</v>
      </c>
      <c r="AO403" s="487">
        <f t="shared" si="162"/>
        <v>36</v>
      </c>
      <c r="AP403" s="610">
        <f t="shared" si="163"/>
        <v>13</v>
      </c>
    </row>
    <row r="404" spans="1:42" ht="14.25" customHeight="1">
      <c r="A404" s="701">
        <v>398</v>
      </c>
      <c r="B404" s="477"/>
      <c r="C404" s="477" t="s">
        <v>1545</v>
      </c>
      <c r="D404" s="477" t="s">
        <v>1395</v>
      </c>
      <c r="E404" s="475" t="s">
        <v>1533</v>
      </c>
      <c r="F404" s="477"/>
      <c r="G404" s="579" t="s">
        <v>1965</v>
      </c>
      <c r="H404" s="482">
        <v>2</v>
      </c>
      <c r="I404" s="580">
        <v>41078</v>
      </c>
      <c r="J404" s="580">
        <v>41078</v>
      </c>
      <c r="K404" s="581">
        <v>4560</v>
      </c>
      <c r="L404" s="581">
        <v>0</v>
      </c>
      <c r="M404" s="582"/>
      <c r="N404" s="582"/>
      <c r="O404" s="582"/>
      <c r="P404" s="582">
        <f t="shared" si="148"/>
        <v>4560</v>
      </c>
      <c r="Q404" s="582">
        <f t="shared" si="149"/>
        <v>0</v>
      </c>
      <c r="R404" s="583">
        <f t="shared" si="150"/>
        <v>3800</v>
      </c>
      <c r="S404" s="668">
        <f t="shared" si="143"/>
        <v>13</v>
      </c>
      <c r="T404" s="584">
        <v>5</v>
      </c>
      <c r="U404" s="585">
        <f t="shared" si="144"/>
        <v>304</v>
      </c>
      <c r="V404" s="586" t="str">
        <f t="shared" si="151"/>
        <v/>
      </c>
      <c r="W404" s="477"/>
      <c r="X404" s="618">
        <f t="shared" si="146"/>
        <v>2280</v>
      </c>
      <c r="Y404" s="618"/>
      <c r="Z404" s="489">
        <v>2200</v>
      </c>
      <c r="AA404" s="361">
        <f t="shared" si="152"/>
        <v>1880.34</v>
      </c>
      <c r="AB404" s="597"/>
      <c r="AC404" s="485">
        <f t="shared" si="153"/>
        <v>0</v>
      </c>
      <c r="AD404" s="597"/>
      <c r="AE404" s="485">
        <f t="shared" si="154"/>
        <v>0</v>
      </c>
      <c r="AF404" s="508">
        <f t="shared" si="155"/>
        <v>0</v>
      </c>
      <c r="AG404" s="508">
        <f t="shared" si="156"/>
        <v>0</v>
      </c>
      <c r="AH404" s="508">
        <f t="shared" si="157"/>
        <v>2200</v>
      </c>
      <c r="AI404" s="508">
        <f t="shared" si="158"/>
        <v>0</v>
      </c>
      <c r="AJ404" s="508">
        <f t="shared" si="159"/>
        <v>319.66000000000003</v>
      </c>
      <c r="AK404" s="508">
        <f t="shared" si="160"/>
        <v>3800</v>
      </c>
      <c r="AL404" s="116">
        <v>8</v>
      </c>
      <c r="AM404" s="486">
        <f t="shared" si="161"/>
        <v>5.45</v>
      </c>
      <c r="AN404" s="117">
        <f t="shared" si="145"/>
        <v>3</v>
      </c>
      <c r="AO404" s="487">
        <f t="shared" si="162"/>
        <v>36</v>
      </c>
      <c r="AP404" s="610">
        <f t="shared" si="163"/>
        <v>13</v>
      </c>
    </row>
    <row r="405" spans="1:42" ht="14.25" customHeight="1">
      <c r="A405" s="701">
        <v>399</v>
      </c>
      <c r="B405" s="477"/>
      <c r="C405" s="477" t="s">
        <v>1702</v>
      </c>
      <c r="D405" s="477" t="s">
        <v>1396</v>
      </c>
      <c r="E405" s="475" t="s">
        <v>1533</v>
      </c>
      <c r="F405" s="477"/>
      <c r="G405" s="579" t="s">
        <v>1967</v>
      </c>
      <c r="H405" s="482">
        <v>4</v>
      </c>
      <c r="I405" s="580">
        <v>41078</v>
      </c>
      <c r="J405" s="580">
        <v>41078</v>
      </c>
      <c r="K405" s="581">
        <v>4640</v>
      </c>
      <c r="L405" s="581">
        <v>0</v>
      </c>
      <c r="M405" s="582"/>
      <c r="N405" s="582"/>
      <c r="O405" s="582"/>
      <c r="P405" s="582">
        <f t="shared" si="148"/>
        <v>4640</v>
      </c>
      <c r="Q405" s="582">
        <f t="shared" si="149"/>
        <v>0</v>
      </c>
      <c r="R405" s="583">
        <f t="shared" si="150"/>
        <v>3800</v>
      </c>
      <c r="S405" s="668">
        <f t="shared" si="143"/>
        <v>20</v>
      </c>
      <c r="T405" s="584"/>
      <c r="U405" s="585">
        <f t="shared" si="144"/>
        <v>760</v>
      </c>
      <c r="V405" s="586" t="str">
        <f t="shared" si="151"/>
        <v/>
      </c>
      <c r="W405" s="477"/>
      <c r="X405" s="618">
        <f t="shared" si="146"/>
        <v>1160</v>
      </c>
      <c r="Y405" s="618"/>
      <c r="Z405" s="489">
        <v>1100</v>
      </c>
      <c r="AA405" s="361">
        <f t="shared" si="152"/>
        <v>940.17</v>
      </c>
      <c r="AB405" s="597"/>
      <c r="AC405" s="485">
        <f t="shared" si="153"/>
        <v>0</v>
      </c>
      <c r="AD405" s="597"/>
      <c r="AE405" s="485">
        <f t="shared" si="154"/>
        <v>0</v>
      </c>
      <c r="AF405" s="508">
        <f t="shared" si="155"/>
        <v>0</v>
      </c>
      <c r="AG405" s="508">
        <f t="shared" si="156"/>
        <v>0</v>
      </c>
      <c r="AH405" s="508">
        <f t="shared" si="157"/>
        <v>1100</v>
      </c>
      <c r="AI405" s="508">
        <f t="shared" si="158"/>
        <v>0</v>
      </c>
      <c r="AJ405" s="508">
        <f t="shared" si="159"/>
        <v>159.83000000000001</v>
      </c>
      <c r="AK405" s="508">
        <f t="shared" si="160"/>
        <v>3800</v>
      </c>
      <c r="AL405" s="116">
        <v>12</v>
      </c>
      <c r="AM405" s="486">
        <f t="shared" si="161"/>
        <v>5.45</v>
      </c>
      <c r="AN405" s="117">
        <f t="shared" si="145"/>
        <v>7</v>
      </c>
      <c r="AO405" s="487">
        <f t="shared" si="162"/>
        <v>56</v>
      </c>
      <c r="AP405" s="610">
        <f t="shared" si="163"/>
        <v>20</v>
      </c>
    </row>
    <row r="406" spans="1:42" ht="14.25" customHeight="1">
      <c r="A406" s="701">
        <v>400</v>
      </c>
      <c r="B406" s="477"/>
      <c r="C406" s="477" t="s">
        <v>1701</v>
      </c>
      <c r="D406" s="477" t="s">
        <v>1396</v>
      </c>
      <c r="E406" s="475" t="s">
        <v>1533</v>
      </c>
      <c r="F406" s="477"/>
      <c r="G406" s="579" t="s">
        <v>1967</v>
      </c>
      <c r="H406" s="482">
        <v>2</v>
      </c>
      <c r="I406" s="580">
        <v>41078</v>
      </c>
      <c r="J406" s="580">
        <v>41078</v>
      </c>
      <c r="K406" s="581">
        <v>2240</v>
      </c>
      <c r="L406" s="581">
        <v>0</v>
      </c>
      <c r="M406" s="582"/>
      <c r="N406" s="582"/>
      <c r="O406" s="582"/>
      <c r="P406" s="582">
        <f t="shared" si="148"/>
        <v>2240</v>
      </c>
      <c r="Q406" s="582">
        <f t="shared" si="149"/>
        <v>0</v>
      </c>
      <c r="R406" s="583">
        <f t="shared" si="150"/>
        <v>1900</v>
      </c>
      <c r="S406" s="668">
        <f t="shared" si="143"/>
        <v>20</v>
      </c>
      <c r="T406" s="584"/>
      <c r="U406" s="585">
        <f t="shared" si="144"/>
        <v>380</v>
      </c>
      <c r="V406" s="586" t="str">
        <f t="shared" si="151"/>
        <v/>
      </c>
      <c r="W406" s="477"/>
      <c r="X406" s="618">
        <f t="shared" si="146"/>
        <v>1120</v>
      </c>
      <c r="Y406" s="618"/>
      <c r="Z406" s="489">
        <v>1100</v>
      </c>
      <c r="AA406" s="361">
        <f t="shared" si="152"/>
        <v>940.17</v>
      </c>
      <c r="AB406" s="597"/>
      <c r="AC406" s="485">
        <f t="shared" si="153"/>
        <v>0</v>
      </c>
      <c r="AD406" s="597"/>
      <c r="AE406" s="485">
        <f t="shared" si="154"/>
        <v>0</v>
      </c>
      <c r="AF406" s="508">
        <f t="shared" si="155"/>
        <v>0</v>
      </c>
      <c r="AG406" s="508">
        <f t="shared" si="156"/>
        <v>0</v>
      </c>
      <c r="AH406" s="508">
        <f t="shared" si="157"/>
        <v>1100</v>
      </c>
      <c r="AI406" s="508">
        <f t="shared" si="158"/>
        <v>0</v>
      </c>
      <c r="AJ406" s="508">
        <f t="shared" si="159"/>
        <v>159.83000000000001</v>
      </c>
      <c r="AK406" s="508">
        <f t="shared" si="160"/>
        <v>1900</v>
      </c>
      <c r="AL406" s="116">
        <v>12</v>
      </c>
      <c r="AM406" s="486">
        <f t="shared" si="161"/>
        <v>5.45</v>
      </c>
      <c r="AN406" s="117">
        <f t="shared" si="145"/>
        <v>7</v>
      </c>
      <c r="AO406" s="487">
        <f t="shared" si="162"/>
        <v>56</v>
      </c>
      <c r="AP406" s="610">
        <f t="shared" si="163"/>
        <v>20</v>
      </c>
    </row>
    <row r="407" spans="1:42" ht="14.25" customHeight="1">
      <c r="A407" s="701">
        <v>401</v>
      </c>
      <c r="B407" s="477"/>
      <c r="C407" s="477" t="s">
        <v>1507</v>
      </c>
      <c r="D407" s="477" t="s">
        <v>1397</v>
      </c>
      <c r="E407" s="475" t="s">
        <v>1478</v>
      </c>
      <c r="F407" s="477"/>
      <c r="G407" s="482" t="s">
        <v>1943</v>
      </c>
      <c r="H407" s="482">
        <v>1</v>
      </c>
      <c r="I407" s="580">
        <v>41078</v>
      </c>
      <c r="J407" s="580">
        <v>41078</v>
      </c>
      <c r="K407" s="581">
        <v>960</v>
      </c>
      <c r="L407" s="581">
        <v>0</v>
      </c>
      <c r="M407" s="582"/>
      <c r="N407" s="582"/>
      <c r="O407" s="582"/>
      <c r="P407" s="582">
        <f t="shared" si="148"/>
        <v>960</v>
      </c>
      <c r="Q407" s="582">
        <f t="shared" si="149"/>
        <v>0</v>
      </c>
      <c r="R407" s="583">
        <f t="shared" si="150"/>
        <v>800</v>
      </c>
      <c r="S407" s="668">
        <f t="shared" si="143"/>
        <v>13</v>
      </c>
      <c r="T407" s="584"/>
      <c r="U407" s="585">
        <f t="shared" si="144"/>
        <v>104</v>
      </c>
      <c r="V407" s="586" t="str">
        <f t="shared" si="151"/>
        <v/>
      </c>
      <c r="W407" s="477"/>
      <c r="X407" s="618">
        <f t="shared" si="146"/>
        <v>960</v>
      </c>
      <c r="Y407" s="618"/>
      <c r="Z407" s="489">
        <v>900</v>
      </c>
      <c r="AA407" s="361">
        <f t="shared" si="152"/>
        <v>769.23</v>
      </c>
      <c r="AB407" s="597"/>
      <c r="AC407" s="485">
        <f t="shared" si="153"/>
        <v>0</v>
      </c>
      <c r="AD407" s="597"/>
      <c r="AE407" s="485">
        <f t="shared" si="154"/>
        <v>0</v>
      </c>
      <c r="AF407" s="508">
        <f t="shared" si="155"/>
        <v>0</v>
      </c>
      <c r="AG407" s="508">
        <f t="shared" si="156"/>
        <v>0</v>
      </c>
      <c r="AH407" s="508">
        <f t="shared" si="157"/>
        <v>900</v>
      </c>
      <c r="AI407" s="508">
        <f t="shared" si="158"/>
        <v>0</v>
      </c>
      <c r="AJ407" s="508">
        <f t="shared" si="159"/>
        <v>130.77000000000001</v>
      </c>
      <c r="AK407" s="508">
        <f t="shared" si="160"/>
        <v>800</v>
      </c>
      <c r="AL407" s="116">
        <v>8</v>
      </c>
      <c r="AM407" s="486">
        <f t="shared" si="161"/>
        <v>5.45</v>
      </c>
      <c r="AN407" s="117">
        <f t="shared" si="145"/>
        <v>3</v>
      </c>
      <c r="AO407" s="487">
        <f t="shared" si="162"/>
        <v>36</v>
      </c>
      <c r="AP407" s="610">
        <f t="shared" si="163"/>
        <v>13</v>
      </c>
    </row>
    <row r="408" spans="1:42" ht="14.25" customHeight="1">
      <c r="A408" s="701">
        <v>402</v>
      </c>
      <c r="B408" s="477"/>
      <c r="C408" s="477" t="s">
        <v>1668</v>
      </c>
      <c r="D408" s="477" t="s">
        <v>1398</v>
      </c>
      <c r="E408" s="475" t="s">
        <v>1533</v>
      </c>
      <c r="F408" s="477"/>
      <c r="G408" s="579" t="s">
        <v>1967</v>
      </c>
      <c r="H408" s="482">
        <v>4</v>
      </c>
      <c r="I408" s="580">
        <v>41078</v>
      </c>
      <c r="J408" s="580">
        <v>41078</v>
      </c>
      <c r="K408" s="581">
        <v>2480</v>
      </c>
      <c r="L408" s="581">
        <v>0</v>
      </c>
      <c r="M408" s="582"/>
      <c r="N408" s="582"/>
      <c r="O408" s="582"/>
      <c r="P408" s="582">
        <f t="shared" si="148"/>
        <v>2480</v>
      </c>
      <c r="Q408" s="582">
        <f t="shared" si="149"/>
        <v>0</v>
      </c>
      <c r="R408" s="583">
        <f t="shared" si="150"/>
        <v>2100</v>
      </c>
      <c r="S408" s="668">
        <f t="shared" si="143"/>
        <v>13</v>
      </c>
      <c r="T408" s="584"/>
      <c r="U408" s="585">
        <f t="shared" si="144"/>
        <v>273</v>
      </c>
      <c r="V408" s="586" t="str">
        <f t="shared" si="151"/>
        <v/>
      </c>
      <c r="W408" s="477"/>
      <c r="X408" s="618">
        <f t="shared" si="146"/>
        <v>620</v>
      </c>
      <c r="Y408" s="618"/>
      <c r="Z408" s="489">
        <v>600</v>
      </c>
      <c r="AA408" s="361">
        <f t="shared" si="152"/>
        <v>512.82000000000005</v>
      </c>
      <c r="AB408" s="597"/>
      <c r="AC408" s="485">
        <f t="shared" si="153"/>
        <v>0</v>
      </c>
      <c r="AD408" s="597"/>
      <c r="AE408" s="485">
        <f t="shared" si="154"/>
        <v>0</v>
      </c>
      <c r="AF408" s="508">
        <f t="shared" si="155"/>
        <v>0</v>
      </c>
      <c r="AG408" s="508">
        <f t="shared" si="156"/>
        <v>0</v>
      </c>
      <c r="AH408" s="508">
        <f t="shared" si="157"/>
        <v>600</v>
      </c>
      <c r="AI408" s="508">
        <f t="shared" si="158"/>
        <v>0</v>
      </c>
      <c r="AJ408" s="508">
        <f t="shared" si="159"/>
        <v>87.18</v>
      </c>
      <c r="AK408" s="508">
        <f t="shared" si="160"/>
        <v>2100</v>
      </c>
      <c r="AL408" s="116">
        <v>8</v>
      </c>
      <c r="AM408" s="486">
        <f t="shared" si="161"/>
        <v>5.45</v>
      </c>
      <c r="AN408" s="117">
        <f t="shared" si="145"/>
        <v>3</v>
      </c>
      <c r="AO408" s="487">
        <f t="shared" si="162"/>
        <v>36</v>
      </c>
      <c r="AP408" s="610">
        <f t="shared" si="163"/>
        <v>13</v>
      </c>
    </row>
    <row r="409" spans="1:42" ht="14.25" customHeight="1">
      <c r="A409" s="701">
        <v>403</v>
      </c>
      <c r="B409" s="477"/>
      <c r="C409" s="477" t="s">
        <v>1655</v>
      </c>
      <c r="D409" s="477" t="s">
        <v>1398</v>
      </c>
      <c r="E409" s="475" t="s">
        <v>1533</v>
      </c>
      <c r="F409" s="477"/>
      <c r="G409" s="579" t="s">
        <v>1965</v>
      </c>
      <c r="H409" s="482">
        <v>2</v>
      </c>
      <c r="I409" s="580">
        <v>41078</v>
      </c>
      <c r="J409" s="580">
        <v>41078</v>
      </c>
      <c r="K409" s="581">
        <v>1120</v>
      </c>
      <c r="L409" s="581">
        <v>0</v>
      </c>
      <c r="M409" s="582"/>
      <c r="N409" s="582"/>
      <c r="O409" s="582"/>
      <c r="P409" s="582">
        <f t="shared" si="148"/>
        <v>1120</v>
      </c>
      <c r="Q409" s="582">
        <f t="shared" si="149"/>
        <v>0</v>
      </c>
      <c r="R409" s="583">
        <f t="shared" si="150"/>
        <v>900</v>
      </c>
      <c r="S409" s="668">
        <f t="shared" si="143"/>
        <v>13</v>
      </c>
      <c r="T409" s="584"/>
      <c r="U409" s="585">
        <f t="shared" si="144"/>
        <v>117</v>
      </c>
      <c r="V409" s="586" t="str">
        <f t="shared" si="151"/>
        <v/>
      </c>
      <c r="W409" s="477"/>
      <c r="X409" s="618">
        <f t="shared" si="146"/>
        <v>560</v>
      </c>
      <c r="Y409" s="618"/>
      <c r="Z409" s="489">
        <v>500</v>
      </c>
      <c r="AA409" s="361">
        <f t="shared" si="152"/>
        <v>427.35</v>
      </c>
      <c r="AB409" s="597"/>
      <c r="AC409" s="485">
        <f t="shared" si="153"/>
        <v>0</v>
      </c>
      <c r="AD409" s="597"/>
      <c r="AE409" s="485">
        <f t="shared" si="154"/>
        <v>0</v>
      </c>
      <c r="AF409" s="508">
        <f t="shared" si="155"/>
        <v>0</v>
      </c>
      <c r="AG409" s="508">
        <f t="shared" si="156"/>
        <v>0</v>
      </c>
      <c r="AH409" s="508">
        <f t="shared" si="157"/>
        <v>500</v>
      </c>
      <c r="AI409" s="508">
        <f t="shared" si="158"/>
        <v>0</v>
      </c>
      <c r="AJ409" s="508">
        <f t="shared" si="159"/>
        <v>72.650000000000006</v>
      </c>
      <c r="AK409" s="508">
        <f t="shared" si="160"/>
        <v>900</v>
      </c>
      <c r="AL409" s="116">
        <v>8</v>
      </c>
      <c r="AM409" s="486">
        <f t="shared" si="161"/>
        <v>5.45</v>
      </c>
      <c r="AN409" s="117">
        <f t="shared" si="145"/>
        <v>3</v>
      </c>
      <c r="AO409" s="487">
        <f t="shared" si="162"/>
        <v>36</v>
      </c>
      <c r="AP409" s="610">
        <f t="shared" si="163"/>
        <v>13</v>
      </c>
    </row>
    <row r="410" spans="1:42" ht="14.25" customHeight="1">
      <c r="A410" s="701">
        <v>404</v>
      </c>
      <c r="B410" s="477"/>
      <c r="C410" s="477" t="s">
        <v>1450</v>
      </c>
      <c r="D410" s="477" t="s">
        <v>1399</v>
      </c>
      <c r="E410" s="475" t="s">
        <v>1451</v>
      </c>
      <c r="F410" s="477"/>
      <c r="G410" s="482" t="s">
        <v>1947</v>
      </c>
      <c r="H410" s="482">
        <v>1</v>
      </c>
      <c r="I410" s="580">
        <v>41078</v>
      </c>
      <c r="J410" s="580">
        <v>41078</v>
      </c>
      <c r="K410" s="581">
        <v>680</v>
      </c>
      <c r="L410" s="581">
        <v>0</v>
      </c>
      <c r="M410" s="582"/>
      <c r="N410" s="582"/>
      <c r="O410" s="582"/>
      <c r="P410" s="582">
        <f t="shared" si="148"/>
        <v>680</v>
      </c>
      <c r="Q410" s="582">
        <f t="shared" si="149"/>
        <v>0</v>
      </c>
      <c r="R410" s="583">
        <f t="shared" si="150"/>
        <v>600</v>
      </c>
      <c r="S410" s="668">
        <f t="shared" si="143"/>
        <v>15</v>
      </c>
      <c r="T410" s="584"/>
      <c r="U410" s="585">
        <f t="shared" si="144"/>
        <v>90</v>
      </c>
      <c r="V410" s="586" t="str">
        <f t="shared" si="151"/>
        <v/>
      </c>
      <c r="W410" s="477"/>
      <c r="X410" s="618">
        <f t="shared" si="146"/>
        <v>680</v>
      </c>
      <c r="Y410" s="618"/>
      <c r="Z410" s="489">
        <v>700</v>
      </c>
      <c r="AA410" s="361">
        <f t="shared" si="152"/>
        <v>598.29</v>
      </c>
      <c r="AB410" s="597"/>
      <c r="AC410" s="485">
        <f t="shared" si="153"/>
        <v>0</v>
      </c>
      <c r="AD410" s="597"/>
      <c r="AE410" s="485">
        <f t="shared" si="154"/>
        <v>0</v>
      </c>
      <c r="AF410" s="508">
        <f t="shared" si="155"/>
        <v>0</v>
      </c>
      <c r="AG410" s="508">
        <f t="shared" si="156"/>
        <v>0</v>
      </c>
      <c r="AH410" s="508">
        <f t="shared" si="157"/>
        <v>700</v>
      </c>
      <c r="AI410" s="508">
        <f t="shared" si="158"/>
        <v>0</v>
      </c>
      <c r="AJ410" s="508">
        <f t="shared" si="159"/>
        <v>101.71</v>
      </c>
      <c r="AK410" s="508">
        <f t="shared" si="160"/>
        <v>600</v>
      </c>
      <c r="AL410" s="116">
        <v>8</v>
      </c>
      <c r="AM410" s="486">
        <f t="shared" si="161"/>
        <v>5.45</v>
      </c>
      <c r="AN410" s="117">
        <f t="shared" si="145"/>
        <v>3</v>
      </c>
      <c r="AO410" s="487">
        <f t="shared" si="162"/>
        <v>36</v>
      </c>
      <c r="AP410" s="610">
        <v>15</v>
      </c>
    </row>
    <row r="411" spans="1:42" ht="14.25" customHeight="1">
      <c r="A411" s="701">
        <v>405</v>
      </c>
      <c r="B411" s="477"/>
      <c r="C411" s="477" t="s">
        <v>1523</v>
      </c>
      <c r="D411" s="477" t="s">
        <v>1400</v>
      </c>
      <c r="E411" s="475" t="s">
        <v>1521</v>
      </c>
      <c r="F411" s="477"/>
      <c r="G411" s="482" t="s">
        <v>1947</v>
      </c>
      <c r="H411" s="482">
        <v>1</v>
      </c>
      <c r="I411" s="580">
        <v>41078</v>
      </c>
      <c r="J411" s="580">
        <v>41078</v>
      </c>
      <c r="K411" s="581">
        <v>860</v>
      </c>
      <c r="L411" s="581">
        <v>0</v>
      </c>
      <c r="M411" s="582"/>
      <c r="N411" s="582"/>
      <c r="O411" s="582"/>
      <c r="P411" s="582">
        <f t="shared" si="148"/>
        <v>860</v>
      </c>
      <c r="Q411" s="582">
        <f t="shared" si="149"/>
        <v>0</v>
      </c>
      <c r="R411" s="583">
        <f t="shared" si="150"/>
        <v>700</v>
      </c>
      <c r="S411" s="668">
        <f t="shared" si="143"/>
        <v>13</v>
      </c>
      <c r="T411" s="584"/>
      <c r="U411" s="585">
        <f t="shared" si="144"/>
        <v>91</v>
      </c>
      <c r="V411" s="586" t="str">
        <f t="shared" si="151"/>
        <v/>
      </c>
      <c r="W411" s="477"/>
      <c r="X411" s="618">
        <f t="shared" si="146"/>
        <v>860</v>
      </c>
      <c r="Y411" s="618"/>
      <c r="Z411" s="489">
        <v>800</v>
      </c>
      <c r="AA411" s="361">
        <f t="shared" si="152"/>
        <v>683.76</v>
      </c>
      <c r="AB411" s="597"/>
      <c r="AC411" s="485">
        <f t="shared" si="153"/>
        <v>0</v>
      </c>
      <c r="AD411" s="597"/>
      <c r="AE411" s="485">
        <f t="shared" si="154"/>
        <v>0</v>
      </c>
      <c r="AF411" s="508">
        <f t="shared" si="155"/>
        <v>0</v>
      </c>
      <c r="AG411" s="508">
        <f t="shared" si="156"/>
        <v>0</v>
      </c>
      <c r="AH411" s="508">
        <f t="shared" si="157"/>
        <v>800</v>
      </c>
      <c r="AI411" s="508">
        <f t="shared" si="158"/>
        <v>0</v>
      </c>
      <c r="AJ411" s="508">
        <f t="shared" si="159"/>
        <v>116.24</v>
      </c>
      <c r="AK411" s="508">
        <f t="shared" si="160"/>
        <v>700</v>
      </c>
      <c r="AL411" s="116">
        <v>8</v>
      </c>
      <c r="AM411" s="486">
        <f t="shared" si="161"/>
        <v>5.45</v>
      </c>
      <c r="AN411" s="117">
        <f t="shared" si="145"/>
        <v>3</v>
      </c>
      <c r="AO411" s="487">
        <f t="shared" si="162"/>
        <v>36</v>
      </c>
      <c r="AP411" s="610">
        <f>AO411*AP$4</f>
        <v>13</v>
      </c>
    </row>
    <row r="412" spans="1:42" ht="14.25" customHeight="1">
      <c r="A412" s="701">
        <v>406</v>
      </c>
      <c r="B412" s="477"/>
      <c r="C412" s="477" t="s">
        <v>1696</v>
      </c>
      <c r="D412" s="477" t="s">
        <v>1388</v>
      </c>
      <c r="E412" s="475" t="s">
        <v>1533</v>
      </c>
      <c r="F412" s="477"/>
      <c r="G412" s="482" t="s">
        <v>1947</v>
      </c>
      <c r="H412" s="482">
        <v>1</v>
      </c>
      <c r="I412" s="580">
        <v>41078</v>
      </c>
      <c r="J412" s="580">
        <v>41078</v>
      </c>
      <c r="K412" s="581">
        <v>1120</v>
      </c>
      <c r="L412" s="581">
        <v>0</v>
      </c>
      <c r="M412" s="582"/>
      <c r="N412" s="582"/>
      <c r="O412" s="582"/>
      <c r="P412" s="582">
        <f t="shared" si="148"/>
        <v>1120</v>
      </c>
      <c r="Q412" s="582">
        <f t="shared" si="149"/>
        <v>0</v>
      </c>
      <c r="R412" s="583">
        <f t="shared" si="150"/>
        <v>900</v>
      </c>
      <c r="S412" s="668">
        <f t="shared" si="143"/>
        <v>13</v>
      </c>
      <c r="T412" s="584">
        <v>4</v>
      </c>
      <c r="U412" s="585">
        <f t="shared" si="144"/>
        <v>81</v>
      </c>
      <c r="V412" s="586" t="str">
        <f t="shared" si="151"/>
        <v/>
      </c>
      <c r="W412" s="477"/>
      <c r="X412" s="618">
        <f t="shared" si="146"/>
        <v>1120</v>
      </c>
      <c r="Y412" s="618"/>
      <c r="Z412" s="489">
        <v>1100</v>
      </c>
      <c r="AA412" s="361">
        <f t="shared" si="152"/>
        <v>940.17</v>
      </c>
      <c r="AB412" s="597"/>
      <c r="AC412" s="485">
        <f t="shared" si="153"/>
        <v>0</v>
      </c>
      <c r="AD412" s="597"/>
      <c r="AE412" s="485">
        <f t="shared" si="154"/>
        <v>0</v>
      </c>
      <c r="AF412" s="508">
        <f t="shared" si="155"/>
        <v>0</v>
      </c>
      <c r="AG412" s="508">
        <f t="shared" si="156"/>
        <v>0</v>
      </c>
      <c r="AH412" s="508">
        <f t="shared" si="157"/>
        <v>1100</v>
      </c>
      <c r="AI412" s="508">
        <f t="shared" si="158"/>
        <v>0</v>
      </c>
      <c r="AJ412" s="508">
        <f t="shared" si="159"/>
        <v>159.83000000000001</v>
      </c>
      <c r="AK412" s="508">
        <f t="shared" si="160"/>
        <v>900</v>
      </c>
      <c r="AL412" s="116">
        <v>8</v>
      </c>
      <c r="AM412" s="486">
        <f t="shared" si="161"/>
        <v>5.45</v>
      </c>
      <c r="AN412" s="117">
        <f t="shared" si="145"/>
        <v>3</v>
      </c>
      <c r="AO412" s="487">
        <f t="shared" si="162"/>
        <v>36</v>
      </c>
      <c r="AP412" s="610">
        <f>AO412*AP$4</f>
        <v>13</v>
      </c>
    </row>
    <row r="413" spans="1:42" ht="14.25" customHeight="1">
      <c r="A413" s="701">
        <v>407</v>
      </c>
      <c r="B413" s="477"/>
      <c r="C413" s="477" t="s">
        <v>1458</v>
      </c>
      <c r="D413" s="477" t="s">
        <v>1401</v>
      </c>
      <c r="E413" s="475" t="s">
        <v>1451</v>
      </c>
      <c r="F413" s="477"/>
      <c r="G413" s="579" t="s">
        <v>1967</v>
      </c>
      <c r="H413" s="482">
        <v>2</v>
      </c>
      <c r="I413" s="580">
        <v>41078</v>
      </c>
      <c r="J413" s="580">
        <v>41078</v>
      </c>
      <c r="K413" s="581">
        <v>6520</v>
      </c>
      <c r="L413" s="581">
        <v>0</v>
      </c>
      <c r="M413" s="582"/>
      <c r="N413" s="582"/>
      <c r="O413" s="582"/>
      <c r="P413" s="582">
        <f t="shared" si="148"/>
        <v>6520</v>
      </c>
      <c r="Q413" s="582">
        <f t="shared" si="149"/>
        <v>0</v>
      </c>
      <c r="R413" s="583">
        <f t="shared" si="150"/>
        <v>5500</v>
      </c>
      <c r="S413" s="668">
        <f t="shared" si="143"/>
        <v>15</v>
      </c>
      <c r="T413" s="584"/>
      <c r="U413" s="585">
        <f t="shared" si="144"/>
        <v>825</v>
      </c>
      <c r="V413" s="586" t="str">
        <f t="shared" si="151"/>
        <v/>
      </c>
      <c r="W413" s="477"/>
      <c r="X413" s="618">
        <f t="shared" si="146"/>
        <v>3260</v>
      </c>
      <c r="Y413" s="618"/>
      <c r="Z413" s="489">
        <v>3200</v>
      </c>
      <c r="AA413" s="361">
        <f t="shared" si="152"/>
        <v>2735.04</v>
      </c>
      <c r="AB413" s="597"/>
      <c r="AC413" s="485">
        <f t="shared" si="153"/>
        <v>0</v>
      </c>
      <c r="AD413" s="597"/>
      <c r="AE413" s="485">
        <f t="shared" si="154"/>
        <v>0</v>
      </c>
      <c r="AF413" s="508">
        <f t="shared" si="155"/>
        <v>0</v>
      </c>
      <c r="AG413" s="508">
        <f t="shared" si="156"/>
        <v>0</v>
      </c>
      <c r="AH413" s="508">
        <f t="shared" si="157"/>
        <v>3200</v>
      </c>
      <c r="AI413" s="508">
        <f t="shared" si="158"/>
        <v>0</v>
      </c>
      <c r="AJ413" s="508">
        <f t="shared" si="159"/>
        <v>464.96</v>
      </c>
      <c r="AK413" s="508">
        <f t="shared" si="160"/>
        <v>5500</v>
      </c>
      <c r="AL413" s="116">
        <v>8</v>
      </c>
      <c r="AM413" s="486">
        <f t="shared" si="161"/>
        <v>5.45</v>
      </c>
      <c r="AN413" s="117">
        <f t="shared" si="145"/>
        <v>3</v>
      </c>
      <c r="AO413" s="487">
        <f t="shared" si="162"/>
        <v>36</v>
      </c>
      <c r="AP413" s="610">
        <v>15</v>
      </c>
    </row>
    <row r="414" spans="1:42" ht="14.25" customHeight="1">
      <c r="A414" s="701">
        <v>408</v>
      </c>
      <c r="B414" s="477"/>
      <c r="C414" s="477" t="s">
        <v>1574</v>
      </c>
      <c r="D414" s="477" t="s">
        <v>1402</v>
      </c>
      <c r="E414" s="475" t="s">
        <v>1575</v>
      </c>
      <c r="F414" s="477"/>
      <c r="G414" s="482" t="s">
        <v>1943</v>
      </c>
      <c r="H414" s="482">
        <v>1</v>
      </c>
      <c r="I414" s="580">
        <v>41078</v>
      </c>
      <c r="J414" s="580">
        <v>41078</v>
      </c>
      <c r="K414" s="581">
        <v>660</v>
      </c>
      <c r="L414" s="581">
        <v>0</v>
      </c>
      <c r="M414" s="582"/>
      <c r="N414" s="582"/>
      <c r="O414" s="582"/>
      <c r="P414" s="582">
        <f t="shared" si="148"/>
        <v>660</v>
      </c>
      <c r="Q414" s="582">
        <f t="shared" si="149"/>
        <v>0</v>
      </c>
      <c r="R414" s="583">
        <f t="shared" si="150"/>
        <v>500</v>
      </c>
      <c r="S414" s="668">
        <f t="shared" si="143"/>
        <v>10</v>
      </c>
      <c r="T414" s="584"/>
      <c r="U414" s="585">
        <f t="shared" si="144"/>
        <v>50</v>
      </c>
      <c r="V414" s="586" t="str">
        <f t="shared" si="151"/>
        <v/>
      </c>
      <c r="W414" s="477"/>
      <c r="X414" s="618">
        <f t="shared" si="146"/>
        <v>660</v>
      </c>
      <c r="Y414" s="618"/>
      <c r="Z414" s="489">
        <v>600</v>
      </c>
      <c r="AA414" s="361">
        <f t="shared" si="152"/>
        <v>512.82000000000005</v>
      </c>
      <c r="AB414" s="597"/>
      <c r="AC414" s="485">
        <f t="shared" si="153"/>
        <v>0</v>
      </c>
      <c r="AD414" s="597"/>
      <c r="AE414" s="485">
        <f t="shared" si="154"/>
        <v>0</v>
      </c>
      <c r="AF414" s="508">
        <f t="shared" si="155"/>
        <v>0</v>
      </c>
      <c r="AG414" s="508">
        <f t="shared" si="156"/>
        <v>0</v>
      </c>
      <c r="AH414" s="508">
        <f t="shared" si="157"/>
        <v>600</v>
      </c>
      <c r="AI414" s="508">
        <f t="shared" si="158"/>
        <v>0</v>
      </c>
      <c r="AJ414" s="508">
        <f t="shared" si="159"/>
        <v>87.18</v>
      </c>
      <c r="AK414" s="508">
        <f t="shared" si="160"/>
        <v>500</v>
      </c>
      <c r="AL414" s="116">
        <v>6</v>
      </c>
      <c r="AM414" s="486">
        <f t="shared" si="161"/>
        <v>5.45</v>
      </c>
      <c r="AN414" s="117">
        <f t="shared" si="145"/>
        <v>1</v>
      </c>
      <c r="AO414" s="487">
        <f t="shared" si="162"/>
        <v>16</v>
      </c>
      <c r="AP414" s="669">
        <v>10</v>
      </c>
    </row>
    <row r="415" spans="1:42" ht="14.25" customHeight="1">
      <c r="A415" s="701">
        <v>409</v>
      </c>
      <c r="B415" s="477"/>
      <c r="C415" s="477" t="s">
        <v>1564</v>
      </c>
      <c r="D415" s="477" t="s">
        <v>1403</v>
      </c>
      <c r="E415" s="475" t="s">
        <v>1533</v>
      </c>
      <c r="F415" s="477"/>
      <c r="G415" s="482" t="s">
        <v>1947</v>
      </c>
      <c r="H415" s="482">
        <v>1</v>
      </c>
      <c r="I415" s="580">
        <v>41078</v>
      </c>
      <c r="J415" s="580">
        <v>41078</v>
      </c>
      <c r="K415" s="581">
        <v>3260</v>
      </c>
      <c r="L415" s="581">
        <v>0</v>
      </c>
      <c r="M415" s="582"/>
      <c r="N415" s="582"/>
      <c r="O415" s="582"/>
      <c r="P415" s="582">
        <f t="shared" si="148"/>
        <v>3260</v>
      </c>
      <c r="Q415" s="582">
        <f t="shared" si="149"/>
        <v>0</v>
      </c>
      <c r="R415" s="583">
        <f t="shared" si="150"/>
        <v>2700</v>
      </c>
      <c r="S415" s="668">
        <f t="shared" si="143"/>
        <v>10</v>
      </c>
      <c r="T415" s="584"/>
      <c r="U415" s="585">
        <f t="shared" si="144"/>
        <v>270</v>
      </c>
      <c r="V415" s="586" t="str">
        <f t="shared" si="151"/>
        <v/>
      </c>
      <c r="W415" s="477"/>
      <c r="X415" s="618">
        <f t="shared" si="146"/>
        <v>3260</v>
      </c>
      <c r="Y415" s="618"/>
      <c r="Z415" s="489">
        <v>3200</v>
      </c>
      <c r="AA415" s="361">
        <f t="shared" si="152"/>
        <v>2735.04</v>
      </c>
      <c r="AB415" s="597"/>
      <c r="AC415" s="485">
        <f t="shared" si="153"/>
        <v>0</v>
      </c>
      <c r="AD415" s="597"/>
      <c r="AE415" s="485">
        <f t="shared" si="154"/>
        <v>0</v>
      </c>
      <c r="AF415" s="508">
        <f t="shared" si="155"/>
        <v>0</v>
      </c>
      <c r="AG415" s="508">
        <f t="shared" si="156"/>
        <v>0</v>
      </c>
      <c r="AH415" s="508">
        <f t="shared" si="157"/>
        <v>3200</v>
      </c>
      <c r="AI415" s="508">
        <f t="shared" si="158"/>
        <v>0</v>
      </c>
      <c r="AJ415" s="508">
        <f t="shared" si="159"/>
        <v>464.96</v>
      </c>
      <c r="AK415" s="508">
        <f t="shared" si="160"/>
        <v>2700</v>
      </c>
      <c r="AL415" s="116">
        <v>6</v>
      </c>
      <c r="AM415" s="486">
        <f t="shared" si="161"/>
        <v>5.45</v>
      </c>
      <c r="AN415" s="117">
        <f t="shared" si="145"/>
        <v>1</v>
      </c>
      <c r="AO415" s="487">
        <f t="shared" si="162"/>
        <v>16</v>
      </c>
      <c r="AP415" s="669">
        <v>10</v>
      </c>
    </row>
    <row r="416" spans="1:42" ht="14.25" customHeight="1">
      <c r="A416" s="701">
        <v>410</v>
      </c>
      <c r="B416" s="477"/>
      <c r="C416" s="477" t="s">
        <v>1792</v>
      </c>
      <c r="D416" s="477" t="s">
        <v>1404</v>
      </c>
      <c r="E416" s="475" t="s">
        <v>1451</v>
      </c>
      <c r="F416" s="611" t="s">
        <v>2065</v>
      </c>
      <c r="G416" s="482" t="s">
        <v>1943</v>
      </c>
      <c r="H416" s="482">
        <v>1</v>
      </c>
      <c r="I416" s="580">
        <v>41078</v>
      </c>
      <c r="J416" s="580">
        <v>41078</v>
      </c>
      <c r="K416" s="581">
        <v>6850</v>
      </c>
      <c r="L416" s="581">
        <v>1609.75</v>
      </c>
      <c r="M416" s="582"/>
      <c r="N416" s="582"/>
      <c r="O416" s="582"/>
      <c r="P416" s="582">
        <f t="shared" si="148"/>
        <v>6850</v>
      </c>
      <c r="Q416" s="582">
        <f t="shared" si="149"/>
        <v>1609.75</v>
      </c>
      <c r="R416" s="583">
        <f t="shared" si="150"/>
        <v>5600</v>
      </c>
      <c r="S416" s="668">
        <f t="shared" si="143"/>
        <v>10</v>
      </c>
      <c r="T416" s="584"/>
      <c r="U416" s="585">
        <f t="shared" si="144"/>
        <v>560</v>
      </c>
      <c r="V416" s="586">
        <f t="shared" si="151"/>
        <v>-65.209999999999994</v>
      </c>
      <c r="W416" s="477"/>
      <c r="X416" s="618">
        <f t="shared" si="146"/>
        <v>6850</v>
      </c>
      <c r="Y416" s="618"/>
      <c r="Z416" s="489">
        <v>6500</v>
      </c>
      <c r="AA416" s="361">
        <f t="shared" si="152"/>
        <v>5555.56</v>
      </c>
      <c r="AB416" s="597"/>
      <c r="AC416" s="485">
        <f t="shared" si="153"/>
        <v>0</v>
      </c>
      <c r="AD416" s="597"/>
      <c r="AE416" s="485">
        <f t="shared" si="154"/>
        <v>0</v>
      </c>
      <c r="AF416" s="508">
        <f t="shared" si="155"/>
        <v>0</v>
      </c>
      <c r="AG416" s="508">
        <f t="shared" si="156"/>
        <v>0</v>
      </c>
      <c r="AH416" s="508">
        <f t="shared" si="157"/>
        <v>6500</v>
      </c>
      <c r="AI416" s="508">
        <f t="shared" si="158"/>
        <v>0</v>
      </c>
      <c r="AJ416" s="508">
        <f t="shared" si="159"/>
        <v>944.44</v>
      </c>
      <c r="AK416" s="508">
        <f t="shared" si="160"/>
        <v>5600</v>
      </c>
      <c r="AL416" s="116">
        <v>6</v>
      </c>
      <c r="AM416" s="486">
        <f t="shared" si="161"/>
        <v>5.45</v>
      </c>
      <c r="AN416" s="117">
        <f t="shared" si="145"/>
        <v>1</v>
      </c>
      <c r="AO416" s="487">
        <f t="shared" si="162"/>
        <v>16</v>
      </c>
      <c r="AP416" s="669">
        <v>10</v>
      </c>
    </row>
    <row r="417" spans="1:44" ht="14.25" customHeight="1">
      <c r="A417" s="701">
        <v>411</v>
      </c>
      <c r="B417" s="477"/>
      <c r="C417" s="477" t="s">
        <v>1459</v>
      </c>
      <c r="D417" s="477"/>
      <c r="E417" s="475" t="s">
        <v>1451</v>
      </c>
      <c r="F417" s="477"/>
      <c r="G417" s="482" t="s">
        <v>1947</v>
      </c>
      <c r="H417" s="482">
        <v>200</v>
      </c>
      <c r="I417" s="580">
        <v>41078</v>
      </c>
      <c r="J417" s="580">
        <v>41078</v>
      </c>
      <c r="K417" s="581">
        <v>6000</v>
      </c>
      <c r="L417" s="581">
        <v>0</v>
      </c>
      <c r="M417" s="582"/>
      <c r="N417" s="582"/>
      <c r="O417" s="582"/>
      <c r="P417" s="582">
        <f t="shared" si="148"/>
        <v>6000</v>
      </c>
      <c r="Q417" s="582">
        <f t="shared" si="149"/>
        <v>0</v>
      </c>
      <c r="R417" s="583">
        <f t="shared" si="150"/>
        <v>5100</v>
      </c>
      <c r="S417" s="668">
        <f t="shared" si="143"/>
        <v>15</v>
      </c>
      <c r="T417" s="584"/>
      <c r="U417" s="585">
        <f t="shared" si="144"/>
        <v>765</v>
      </c>
      <c r="V417" s="586" t="str">
        <f t="shared" si="151"/>
        <v/>
      </c>
      <c r="W417" s="477"/>
      <c r="X417" s="618">
        <f t="shared" si="146"/>
        <v>30</v>
      </c>
      <c r="Y417" s="618"/>
      <c r="Z417" s="489">
        <v>30</v>
      </c>
      <c r="AA417" s="361">
        <f t="shared" si="152"/>
        <v>25.64</v>
      </c>
      <c r="AB417" s="597"/>
      <c r="AC417" s="485">
        <f t="shared" si="153"/>
        <v>0</v>
      </c>
      <c r="AD417" s="597"/>
      <c r="AE417" s="485">
        <f t="shared" si="154"/>
        <v>0</v>
      </c>
      <c r="AF417" s="508">
        <f t="shared" si="155"/>
        <v>0</v>
      </c>
      <c r="AG417" s="508">
        <f t="shared" si="156"/>
        <v>0</v>
      </c>
      <c r="AH417" s="508">
        <f t="shared" si="157"/>
        <v>30</v>
      </c>
      <c r="AI417" s="508">
        <f t="shared" si="158"/>
        <v>0</v>
      </c>
      <c r="AJ417" s="508">
        <f t="shared" si="159"/>
        <v>4.3600000000000003</v>
      </c>
      <c r="AK417" s="508">
        <f t="shared" si="160"/>
        <v>5100</v>
      </c>
      <c r="AL417" s="116">
        <v>8</v>
      </c>
      <c r="AM417" s="486">
        <f t="shared" si="161"/>
        <v>5.45</v>
      </c>
      <c r="AN417" s="117">
        <f t="shared" si="145"/>
        <v>3</v>
      </c>
      <c r="AO417" s="487">
        <f t="shared" si="162"/>
        <v>36</v>
      </c>
      <c r="AP417" s="610">
        <v>15</v>
      </c>
    </row>
    <row r="418" spans="1:44" ht="14.25" customHeight="1">
      <c r="A418" s="701">
        <v>412</v>
      </c>
      <c r="B418" s="477"/>
      <c r="C418" s="477" t="s">
        <v>1679</v>
      </c>
      <c r="D418" s="477"/>
      <c r="E418" s="475" t="s">
        <v>1533</v>
      </c>
      <c r="F418" s="477"/>
      <c r="G418" s="482" t="s">
        <v>1950</v>
      </c>
      <c r="H418" s="482">
        <v>2</v>
      </c>
      <c r="I418" s="580">
        <v>41078</v>
      </c>
      <c r="J418" s="580">
        <v>41078</v>
      </c>
      <c r="K418" s="581">
        <v>4520</v>
      </c>
      <c r="L418" s="581">
        <v>0</v>
      </c>
      <c r="M418" s="582"/>
      <c r="N418" s="582"/>
      <c r="O418" s="582"/>
      <c r="P418" s="582">
        <f t="shared" si="148"/>
        <v>4520</v>
      </c>
      <c r="Q418" s="582">
        <f t="shared" si="149"/>
        <v>0</v>
      </c>
      <c r="R418" s="583">
        <f t="shared" si="150"/>
        <v>0</v>
      </c>
      <c r="S418" s="584"/>
      <c r="T418" s="584"/>
      <c r="U418" s="585">
        <f>IF(S418="",R418,ROUND(R418*S418/100,0))</f>
        <v>0</v>
      </c>
      <c r="V418" s="586" t="str">
        <f t="shared" si="151"/>
        <v/>
      </c>
      <c r="W418" s="611" t="s">
        <v>2074</v>
      </c>
      <c r="X418" s="618">
        <f t="shared" si="146"/>
        <v>2260</v>
      </c>
      <c r="Y418" s="618"/>
      <c r="Z418" s="617">
        <v>0</v>
      </c>
      <c r="AA418" s="361">
        <f t="shared" si="152"/>
        <v>0</v>
      </c>
      <c r="AB418" s="597"/>
      <c r="AC418" s="485">
        <f t="shared" si="153"/>
        <v>0</v>
      </c>
      <c r="AD418" s="597"/>
      <c r="AE418" s="485">
        <f t="shared" si="154"/>
        <v>0</v>
      </c>
      <c r="AF418" s="508">
        <f t="shared" si="155"/>
        <v>0</v>
      </c>
      <c r="AG418" s="508">
        <f t="shared" si="156"/>
        <v>0</v>
      </c>
      <c r="AH418" s="508">
        <f t="shared" si="157"/>
        <v>0</v>
      </c>
      <c r="AI418" s="508">
        <f t="shared" si="158"/>
        <v>0</v>
      </c>
      <c r="AJ418" s="508">
        <f t="shared" si="159"/>
        <v>0</v>
      </c>
      <c r="AK418" s="508">
        <f t="shared" si="160"/>
        <v>0</v>
      </c>
      <c r="AM418" s="486">
        <f t="shared" si="161"/>
        <v>5.45</v>
      </c>
      <c r="AN418" s="117">
        <f t="shared" si="145"/>
        <v>-5</v>
      </c>
      <c r="AO418" s="487">
        <f t="shared" si="162"/>
        <v>-1111</v>
      </c>
      <c r="AP418" s="610"/>
    </row>
    <row r="419" spans="1:44" ht="14.25" customHeight="1">
      <c r="A419" s="701">
        <v>413</v>
      </c>
      <c r="B419" s="477"/>
      <c r="C419" s="477" t="s">
        <v>1512</v>
      </c>
      <c r="D419" s="477"/>
      <c r="E419" s="475" t="s">
        <v>1478</v>
      </c>
      <c r="F419" s="477"/>
      <c r="G419" s="482" t="s">
        <v>1945</v>
      </c>
      <c r="H419" s="482">
        <v>1</v>
      </c>
      <c r="I419" s="580">
        <v>41078</v>
      </c>
      <c r="J419" s="580">
        <v>41078</v>
      </c>
      <c r="K419" s="581">
        <v>16600</v>
      </c>
      <c r="L419" s="581">
        <v>1418.8</v>
      </c>
      <c r="M419" s="582"/>
      <c r="N419" s="582"/>
      <c r="O419" s="582"/>
      <c r="P419" s="582">
        <f t="shared" si="148"/>
        <v>16600</v>
      </c>
      <c r="Q419" s="582">
        <f t="shared" si="149"/>
        <v>1418.8</v>
      </c>
      <c r="R419" s="583">
        <f t="shared" si="150"/>
        <v>13500</v>
      </c>
      <c r="S419" s="668">
        <f t="shared" ref="S419:S427" si="164">AP419</f>
        <v>17</v>
      </c>
      <c r="T419" s="584"/>
      <c r="U419" s="585">
        <f>IF(S419="",R419,ROUND(R419*S419/100,0))</f>
        <v>2295</v>
      </c>
      <c r="V419" s="586">
        <f t="shared" si="151"/>
        <v>61.76</v>
      </c>
      <c r="W419" s="477"/>
      <c r="X419" s="618">
        <f t="shared" si="146"/>
        <v>16600</v>
      </c>
      <c r="Y419" s="618"/>
      <c r="Z419" s="489">
        <v>15800</v>
      </c>
      <c r="AA419" s="361">
        <f t="shared" si="152"/>
        <v>13504.27</v>
      </c>
      <c r="AB419" s="597"/>
      <c r="AC419" s="485">
        <f t="shared" si="153"/>
        <v>0</v>
      </c>
      <c r="AD419" s="597"/>
      <c r="AE419" s="485">
        <f t="shared" si="154"/>
        <v>0</v>
      </c>
      <c r="AF419" s="508">
        <f t="shared" si="155"/>
        <v>0</v>
      </c>
      <c r="AG419" s="508">
        <f t="shared" si="156"/>
        <v>0</v>
      </c>
      <c r="AH419" s="508">
        <f t="shared" si="157"/>
        <v>15800</v>
      </c>
      <c r="AI419" s="508">
        <f t="shared" si="158"/>
        <v>0</v>
      </c>
      <c r="AJ419" s="508">
        <f t="shared" si="159"/>
        <v>2295.73</v>
      </c>
      <c r="AK419" s="508">
        <f t="shared" si="160"/>
        <v>13500</v>
      </c>
      <c r="AL419" s="116">
        <v>10</v>
      </c>
      <c r="AM419" s="486">
        <f t="shared" si="161"/>
        <v>5.45</v>
      </c>
      <c r="AN419" s="117">
        <f t="shared" si="145"/>
        <v>5</v>
      </c>
      <c r="AO419" s="487">
        <f t="shared" si="162"/>
        <v>48</v>
      </c>
      <c r="AP419" s="610">
        <f t="shared" ref="AP419:AP427" si="165">AO419*AP$4</f>
        <v>17</v>
      </c>
    </row>
    <row r="420" spans="1:44" ht="14.25" customHeight="1">
      <c r="A420" s="701">
        <v>414</v>
      </c>
      <c r="B420" s="477"/>
      <c r="C420" s="477" t="s">
        <v>1744</v>
      </c>
      <c r="D420" s="477"/>
      <c r="E420" s="475" t="s">
        <v>1743</v>
      </c>
      <c r="F420" s="611" t="s">
        <v>2066</v>
      </c>
      <c r="G420" s="482" t="s">
        <v>1947</v>
      </c>
      <c r="H420" s="482">
        <v>4</v>
      </c>
      <c r="I420" s="580">
        <v>41078</v>
      </c>
      <c r="J420" s="580">
        <v>41078</v>
      </c>
      <c r="K420" s="581">
        <v>2940</v>
      </c>
      <c r="L420" s="581">
        <v>0</v>
      </c>
      <c r="M420" s="582"/>
      <c r="N420" s="582"/>
      <c r="O420" s="582"/>
      <c r="P420" s="582">
        <f t="shared" si="148"/>
        <v>2940</v>
      </c>
      <c r="Q420" s="582">
        <f t="shared" si="149"/>
        <v>0</v>
      </c>
      <c r="R420" s="583">
        <f t="shared" si="150"/>
        <v>2400</v>
      </c>
      <c r="S420" s="668">
        <f t="shared" si="164"/>
        <v>13</v>
      </c>
      <c r="T420" s="584"/>
      <c r="U420" s="585">
        <f>IF(S420="",R420,ROUND(R420*(S420-T420)/100,0))</f>
        <v>312</v>
      </c>
      <c r="V420" s="586" t="str">
        <f t="shared" si="151"/>
        <v/>
      </c>
      <c r="W420" s="477"/>
      <c r="X420" s="618">
        <f t="shared" si="146"/>
        <v>735</v>
      </c>
      <c r="Y420" s="618"/>
      <c r="Z420" s="489">
        <v>700</v>
      </c>
      <c r="AA420" s="361">
        <f t="shared" si="152"/>
        <v>598.29</v>
      </c>
      <c r="AB420" s="597"/>
      <c r="AC420" s="485">
        <f t="shared" si="153"/>
        <v>0</v>
      </c>
      <c r="AD420" s="597"/>
      <c r="AE420" s="485">
        <f t="shared" si="154"/>
        <v>0</v>
      </c>
      <c r="AF420" s="508">
        <f t="shared" si="155"/>
        <v>0</v>
      </c>
      <c r="AG420" s="508">
        <f t="shared" si="156"/>
        <v>0</v>
      </c>
      <c r="AH420" s="508">
        <f t="shared" si="157"/>
        <v>700</v>
      </c>
      <c r="AI420" s="508">
        <f t="shared" si="158"/>
        <v>0</v>
      </c>
      <c r="AJ420" s="508">
        <f t="shared" si="159"/>
        <v>101.71</v>
      </c>
      <c r="AK420" s="508">
        <f t="shared" si="160"/>
        <v>2400</v>
      </c>
      <c r="AL420" s="116">
        <v>8</v>
      </c>
      <c r="AM420" s="486">
        <f t="shared" si="161"/>
        <v>5.45</v>
      </c>
      <c r="AN420" s="117">
        <f t="shared" ref="AN420:AN451" si="166">ROUND((AL420-AM420),0)</f>
        <v>3</v>
      </c>
      <c r="AO420" s="487">
        <f t="shared" si="162"/>
        <v>36</v>
      </c>
      <c r="AP420" s="610">
        <f t="shared" si="165"/>
        <v>13</v>
      </c>
    </row>
    <row r="421" spans="1:44" ht="14.25" customHeight="1">
      <c r="A421" s="701">
        <v>415</v>
      </c>
      <c r="B421" s="477"/>
      <c r="C421" s="477" t="s">
        <v>1482</v>
      </c>
      <c r="D421" s="477"/>
      <c r="E421" s="475" t="s">
        <v>1478</v>
      </c>
      <c r="F421" s="477"/>
      <c r="G421" s="579" t="s">
        <v>1963</v>
      </c>
      <c r="H421" s="482">
        <v>3</v>
      </c>
      <c r="I421" s="580">
        <v>41272</v>
      </c>
      <c r="J421" s="580">
        <v>41272</v>
      </c>
      <c r="K421" s="581">
        <v>7025.64</v>
      </c>
      <c r="L421" s="581">
        <v>0</v>
      </c>
      <c r="M421" s="582"/>
      <c r="N421" s="582"/>
      <c r="O421" s="582"/>
      <c r="P421" s="582">
        <f t="shared" si="148"/>
        <v>7025.64</v>
      </c>
      <c r="Q421" s="582">
        <f t="shared" si="149"/>
        <v>0</v>
      </c>
      <c r="R421" s="583">
        <f t="shared" si="150"/>
        <v>6400</v>
      </c>
      <c r="S421" s="668">
        <f t="shared" si="164"/>
        <v>18</v>
      </c>
      <c r="T421" s="584"/>
      <c r="U421" s="585">
        <f>IF(S421="",R421,ROUND(R421*S421/100,0))</f>
        <v>1152</v>
      </c>
      <c r="V421" s="586" t="str">
        <f t="shared" si="151"/>
        <v/>
      </c>
      <c r="W421" s="477"/>
      <c r="X421" s="619">
        <f t="shared" ref="X421:X428" si="167">P421*1.17/H421</f>
        <v>2740</v>
      </c>
      <c r="Y421" s="618"/>
      <c r="Z421" s="489">
        <v>2500</v>
      </c>
      <c r="AA421" s="361">
        <f t="shared" si="152"/>
        <v>2136.75</v>
      </c>
      <c r="AB421" s="597"/>
      <c r="AC421" s="485">
        <f t="shared" si="153"/>
        <v>0</v>
      </c>
      <c r="AD421" s="597"/>
      <c r="AE421" s="485">
        <f t="shared" si="154"/>
        <v>0</v>
      </c>
      <c r="AF421" s="508">
        <f t="shared" si="155"/>
        <v>0</v>
      </c>
      <c r="AG421" s="508">
        <f t="shared" si="156"/>
        <v>0</v>
      </c>
      <c r="AH421" s="508">
        <f t="shared" si="157"/>
        <v>2500</v>
      </c>
      <c r="AI421" s="508">
        <f t="shared" si="158"/>
        <v>0</v>
      </c>
      <c r="AJ421" s="508">
        <f t="shared" si="159"/>
        <v>363.25</v>
      </c>
      <c r="AK421" s="508">
        <f t="shared" si="160"/>
        <v>6400</v>
      </c>
      <c r="AL421" s="116">
        <v>10</v>
      </c>
      <c r="AM421" s="486">
        <f t="shared" si="161"/>
        <v>4.92</v>
      </c>
      <c r="AN421" s="117">
        <f t="shared" si="166"/>
        <v>5</v>
      </c>
      <c r="AO421" s="487">
        <f t="shared" si="162"/>
        <v>50</v>
      </c>
      <c r="AP421" s="610">
        <f t="shared" si="165"/>
        <v>18</v>
      </c>
    </row>
    <row r="422" spans="1:44" ht="14.25" customHeight="1">
      <c r="A422" s="701">
        <v>416</v>
      </c>
      <c r="B422" s="477"/>
      <c r="C422" s="477" t="s">
        <v>1501</v>
      </c>
      <c r="D422" s="477"/>
      <c r="E422" s="475" t="s">
        <v>1478</v>
      </c>
      <c r="F422" s="477"/>
      <c r="G422" s="482" t="s">
        <v>1945</v>
      </c>
      <c r="H422" s="482">
        <v>30</v>
      </c>
      <c r="I422" s="580">
        <v>41272</v>
      </c>
      <c r="J422" s="580">
        <v>41272</v>
      </c>
      <c r="K422" s="581">
        <v>11538.46</v>
      </c>
      <c r="L422" s="581">
        <v>0</v>
      </c>
      <c r="M422" s="582"/>
      <c r="N422" s="582"/>
      <c r="O422" s="582"/>
      <c r="P422" s="582">
        <f t="shared" si="148"/>
        <v>11538.46</v>
      </c>
      <c r="Q422" s="582">
        <f t="shared" si="149"/>
        <v>0</v>
      </c>
      <c r="R422" s="583">
        <f t="shared" si="150"/>
        <v>11500</v>
      </c>
      <c r="S422" s="668">
        <f t="shared" si="164"/>
        <v>24</v>
      </c>
      <c r="T422" s="584"/>
      <c r="U422" s="585">
        <f>IF(S422="",R422,ROUND(R422*(S422-T422)/100,0))</f>
        <v>2760</v>
      </c>
      <c r="V422" s="586" t="str">
        <f t="shared" si="151"/>
        <v/>
      </c>
      <c r="W422" s="477"/>
      <c r="X422" s="619">
        <f t="shared" si="167"/>
        <v>450</v>
      </c>
      <c r="Y422" s="618"/>
      <c r="Z422" s="489">
        <v>450</v>
      </c>
      <c r="AA422" s="361">
        <f t="shared" si="152"/>
        <v>384.62</v>
      </c>
      <c r="AB422" s="597"/>
      <c r="AC422" s="485">
        <f t="shared" si="153"/>
        <v>0</v>
      </c>
      <c r="AD422" s="597"/>
      <c r="AE422" s="485">
        <f t="shared" si="154"/>
        <v>0</v>
      </c>
      <c r="AF422" s="508">
        <f t="shared" si="155"/>
        <v>0</v>
      </c>
      <c r="AG422" s="508">
        <f t="shared" si="156"/>
        <v>0</v>
      </c>
      <c r="AH422" s="508">
        <f t="shared" si="157"/>
        <v>450</v>
      </c>
      <c r="AI422" s="508">
        <f t="shared" si="158"/>
        <v>0</v>
      </c>
      <c r="AJ422" s="508">
        <f t="shared" si="159"/>
        <v>65.38</v>
      </c>
      <c r="AK422" s="508">
        <f t="shared" si="160"/>
        <v>11500</v>
      </c>
      <c r="AL422" s="116">
        <v>16</v>
      </c>
      <c r="AM422" s="486">
        <f t="shared" si="161"/>
        <v>4.92</v>
      </c>
      <c r="AN422" s="117">
        <f t="shared" si="166"/>
        <v>11</v>
      </c>
      <c r="AO422" s="487">
        <f t="shared" si="162"/>
        <v>69</v>
      </c>
      <c r="AP422" s="610">
        <f t="shared" si="165"/>
        <v>24</v>
      </c>
    </row>
    <row r="423" spans="1:44" ht="14.25" customHeight="1">
      <c r="A423" s="701">
        <v>417</v>
      </c>
      <c r="B423" s="477"/>
      <c r="C423" s="477" t="s">
        <v>1754</v>
      </c>
      <c r="D423" s="477" t="s">
        <v>2049</v>
      </c>
      <c r="E423" s="475" t="s">
        <v>1743</v>
      </c>
      <c r="F423" s="477"/>
      <c r="G423" s="579" t="s">
        <v>1972</v>
      </c>
      <c r="H423" s="482">
        <v>8</v>
      </c>
      <c r="I423" s="580">
        <v>41272</v>
      </c>
      <c r="J423" s="580">
        <v>41272</v>
      </c>
      <c r="K423" s="581">
        <v>4034.19</v>
      </c>
      <c r="L423" s="581">
        <v>0</v>
      </c>
      <c r="M423" s="582"/>
      <c r="N423" s="582"/>
      <c r="O423" s="582"/>
      <c r="P423" s="582">
        <f t="shared" si="148"/>
        <v>4034.19</v>
      </c>
      <c r="Q423" s="582">
        <f t="shared" si="149"/>
        <v>0</v>
      </c>
      <c r="R423" s="583">
        <f t="shared" si="150"/>
        <v>4100</v>
      </c>
      <c r="S423" s="668">
        <f t="shared" si="164"/>
        <v>21</v>
      </c>
      <c r="T423" s="584"/>
      <c r="U423" s="585">
        <f>IF(S423="",R423,ROUND(R423*(S423-T423)/100,0))</f>
        <v>861</v>
      </c>
      <c r="V423" s="586" t="str">
        <f t="shared" si="151"/>
        <v/>
      </c>
      <c r="W423" s="477"/>
      <c r="X423" s="619">
        <f t="shared" si="167"/>
        <v>590</v>
      </c>
      <c r="Y423" s="618"/>
      <c r="Z423" s="489">
        <v>600</v>
      </c>
      <c r="AA423" s="361">
        <f t="shared" si="152"/>
        <v>512.82000000000005</v>
      </c>
      <c r="AB423" s="597"/>
      <c r="AC423" s="485">
        <f t="shared" si="153"/>
        <v>0</v>
      </c>
      <c r="AD423" s="597"/>
      <c r="AE423" s="485">
        <f t="shared" si="154"/>
        <v>0</v>
      </c>
      <c r="AF423" s="508">
        <f t="shared" si="155"/>
        <v>0</v>
      </c>
      <c r="AG423" s="508">
        <f t="shared" si="156"/>
        <v>0</v>
      </c>
      <c r="AH423" s="508">
        <f t="shared" si="157"/>
        <v>600</v>
      </c>
      <c r="AI423" s="508">
        <f t="shared" si="158"/>
        <v>0</v>
      </c>
      <c r="AJ423" s="508">
        <f t="shared" si="159"/>
        <v>87.18</v>
      </c>
      <c r="AK423" s="508">
        <f t="shared" si="160"/>
        <v>4100</v>
      </c>
      <c r="AL423" s="116">
        <v>12</v>
      </c>
      <c r="AM423" s="486">
        <f t="shared" si="161"/>
        <v>4.92</v>
      </c>
      <c r="AN423" s="117">
        <f t="shared" si="166"/>
        <v>7</v>
      </c>
      <c r="AO423" s="487">
        <f t="shared" si="162"/>
        <v>59</v>
      </c>
      <c r="AP423" s="610">
        <f t="shared" si="165"/>
        <v>21</v>
      </c>
    </row>
    <row r="424" spans="1:44" ht="14.25" customHeight="1">
      <c r="A424" s="701">
        <v>418</v>
      </c>
      <c r="B424" s="477"/>
      <c r="C424" s="477" t="s">
        <v>1520</v>
      </c>
      <c r="D424" s="477"/>
      <c r="E424" s="475" t="s">
        <v>1521</v>
      </c>
      <c r="F424" s="477"/>
      <c r="G424" s="579" t="s">
        <v>1966</v>
      </c>
      <c r="H424" s="482">
        <v>1</v>
      </c>
      <c r="I424" s="580">
        <v>41272</v>
      </c>
      <c r="J424" s="580">
        <v>41272</v>
      </c>
      <c r="K424" s="581">
        <v>2495.73</v>
      </c>
      <c r="L424" s="581">
        <v>0</v>
      </c>
      <c r="M424" s="582"/>
      <c r="N424" s="582"/>
      <c r="O424" s="582"/>
      <c r="P424" s="582">
        <f t="shared" si="148"/>
        <v>2495.73</v>
      </c>
      <c r="Q424" s="582">
        <f t="shared" si="149"/>
        <v>0</v>
      </c>
      <c r="R424" s="583">
        <f t="shared" si="150"/>
        <v>2400</v>
      </c>
      <c r="S424" s="668">
        <f t="shared" si="164"/>
        <v>23</v>
      </c>
      <c r="T424" s="584"/>
      <c r="U424" s="585">
        <f>IF(S424="",R424,ROUND(R424*S424/100,0))</f>
        <v>552</v>
      </c>
      <c r="V424" s="586" t="str">
        <f t="shared" si="151"/>
        <v/>
      </c>
      <c r="W424" s="477"/>
      <c r="X424" s="619">
        <f t="shared" si="167"/>
        <v>2920</v>
      </c>
      <c r="Y424" s="618"/>
      <c r="Z424" s="489">
        <v>2800</v>
      </c>
      <c r="AA424" s="361">
        <f t="shared" si="152"/>
        <v>2393.16</v>
      </c>
      <c r="AB424" s="597"/>
      <c r="AC424" s="485">
        <f t="shared" si="153"/>
        <v>0</v>
      </c>
      <c r="AD424" s="597"/>
      <c r="AE424" s="485">
        <f t="shared" si="154"/>
        <v>0</v>
      </c>
      <c r="AF424" s="508">
        <f t="shared" si="155"/>
        <v>0</v>
      </c>
      <c r="AG424" s="508">
        <f t="shared" si="156"/>
        <v>0</v>
      </c>
      <c r="AH424" s="508">
        <f t="shared" si="157"/>
        <v>2800</v>
      </c>
      <c r="AI424" s="508">
        <f t="shared" si="158"/>
        <v>0</v>
      </c>
      <c r="AJ424" s="508">
        <f t="shared" si="159"/>
        <v>406.84</v>
      </c>
      <c r="AK424" s="508">
        <f t="shared" si="160"/>
        <v>2400</v>
      </c>
      <c r="AL424" s="116">
        <v>14</v>
      </c>
      <c r="AM424" s="486">
        <f t="shared" si="161"/>
        <v>4.92</v>
      </c>
      <c r="AN424" s="117">
        <f t="shared" si="166"/>
        <v>9</v>
      </c>
      <c r="AO424" s="487">
        <f t="shared" si="162"/>
        <v>65</v>
      </c>
      <c r="AP424" s="610">
        <f t="shared" si="165"/>
        <v>23</v>
      </c>
    </row>
    <row r="425" spans="1:44" ht="14.25" customHeight="1">
      <c r="A425" s="701">
        <v>419</v>
      </c>
      <c r="B425" s="477"/>
      <c r="C425" s="477" t="s">
        <v>1524</v>
      </c>
      <c r="D425" s="477"/>
      <c r="E425" s="475" t="s">
        <v>1521</v>
      </c>
      <c r="F425" s="477"/>
      <c r="G425" s="579" t="s">
        <v>1967</v>
      </c>
      <c r="H425" s="482">
        <v>8</v>
      </c>
      <c r="I425" s="580">
        <v>41272</v>
      </c>
      <c r="J425" s="580">
        <v>41272</v>
      </c>
      <c r="K425" s="581">
        <v>2735.04</v>
      </c>
      <c r="L425" s="581">
        <v>0</v>
      </c>
      <c r="M425" s="582"/>
      <c r="N425" s="582"/>
      <c r="O425" s="582"/>
      <c r="P425" s="582">
        <f t="shared" si="148"/>
        <v>2735.04</v>
      </c>
      <c r="Q425" s="582">
        <f t="shared" si="149"/>
        <v>0</v>
      </c>
      <c r="R425" s="583">
        <f t="shared" si="150"/>
        <v>2700</v>
      </c>
      <c r="S425" s="668">
        <f t="shared" si="164"/>
        <v>23</v>
      </c>
      <c r="T425" s="584"/>
      <c r="U425" s="585">
        <f>IF(S425="",R425,ROUND(R425*(S425-T425)/100,0))</f>
        <v>621</v>
      </c>
      <c r="V425" s="586" t="str">
        <f t="shared" si="151"/>
        <v/>
      </c>
      <c r="W425" s="477"/>
      <c r="X425" s="619">
        <f t="shared" si="167"/>
        <v>400</v>
      </c>
      <c r="Y425" s="618"/>
      <c r="Z425" s="489">
        <v>400</v>
      </c>
      <c r="AA425" s="361">
        <f t="shared" si="152"/>
        <v>341.88</v>
      </c>
      <c r="AB425" s="597"/>
      <c r="AC425" s="485">
        <f t="shared" si="153"/>
        <v>0</v>
      </c>
      <c r="AD425" s="597"/>
      <c r="AE425" s="485">
        <f t="shared" si="154"/>
        <v>0</v>
      </c>
      <c r="AF425" s="508">
        <f t="shared" si="155"/>
        <v>0</v>
      </c>
      <c r="AG425" s="508">
        <f t="shared" si="156"/>
        <v>0</v>
      </c>
      <c r="AH425" s="508">
        <f t="shared" si="157"/>
        <v>400</v>
      </c>
      <c r="AI425" s="508">
        <f t="shared" si="158"/>
        <v>0</v>
      </c>
      <c r="AJ425" s="508">
        <f t="shared" si="159"/>
        <v>58.12</v>
      </c>
      <c r="AK425" s="508">
        <f t="shared" si="160"/>
        <v>2700</v>
      </c>
      <c r="AL425" s="116">
        <v>14</v>
      </c>
      <c r="AM425" s="486">
        <f t="shared" si="161"/>
        <v>4.92</v>
      </c>
      <c r="AN425" s="117">
        <f t="shared" si="166"/>
        <v>9</v>
      </c>
      <c r="AO425" s="487">
        <f t="shared" si="162"/>
        <v>65</v>
      </c>
      <c r="AP425" s="610">
        <f t="shared" si="165"/>
        <v>23</v>
      </c>
    </row>
    <row r="426" spans="1:44" ht="14.25" customHeight="1">
      <c r="A426" s="701">
        <v>420</v>
      </c>
      <c r="B426" s="477"/>
      <c r="C426" s="477" t="s">
        <v>1568</v>
      </c>
      <c r="D426" s="477"/>
      <c r="E426" s="475" t="s">
        <v>1533</v>
      </c>
      <c r="F426" s="477"/>
      <c r="G426" s="482" t="s">
        <v>1951</v>
      </c>
      <c r="H426" s="482">
        <v>28</v>
      </c>
      <c r="I426" s="580">
        <v>41272</v>
      </c>
      <c r="J426" s="580">
        <v>41272</v>
      </c>
      <c r="K426" s="581">
        <v>31589.74</v>
      </c>
      <c r="L426" s="581">
        <v>0</v>
      </c>
      <c r="M426" s="582"/>
      <c r="N426" s="582"/>
      <c r="O426" s="582"/>
      <c r="P426" s="582">
        <f t="shared" si="148"/>
        <v>31589.74</v>
      </c>
      <c r="Q426" s="582">
        <f t="shared" si="149"/>
        <v>0</v>
      </c>
      <c r="R426" s="583">
        <f t="shared" si="150"/>
        <v>31100</v>
      </c>
      <c r="S426" s="668">
        <f t="shared" si="164"/>
        <v>18</v>
      </c>
      <c r="T426" s="584"/>
      <c r="U426" s="585">
        <f>IF(S426="",R426,ROUND(R426*(S426-T426)/100,0))</f>
        <v>5598</v>
      </c>
      <c r="V426" s="586" t="str">
        <f t="shared" si="151"/>
        <v/>
      </c>
      <c r="W426" s="477"/>
      <c r="X426" s="619">
        <f t="shared" si="167"/>
        <v>1320</v>
      </c>
      <c r="Y426" s="618"/>
      <c r="Z426" s="489">
        <v>1300</v>
      </c>
      <c r="AA426" s="361">
        <f t="shared" si="152"/>
        <v>1111.1099999999999</v>
      </c>
      <c r="AB426" s="597"/>
      <c r="AC426" s="485">
        <f t="shared" si="153"/>
        <v>0</v>
      </c>
      <c r="AD426" s="597"/>
      <c r="AE426" s="485">
        <f t="shared" si="154"/>
        <v>0</v>
      </c>
      <c r="AF426" s="508">
        <f t="shared" si="155"/>
        <v>0</v>
      </c>
      <c r="AG426" s="508">
        <f t="shared" si="156"/>
        <v>0</v>
      </c>
      <c r="AH426" s="508">
        <f t="shared" si="157"/>
        <v>1300</v>
      </c>
      <c r="AI426" s="508">
        <f t="shared" si="158"/>
        <v>0</v>
      </c>
      <c r="AJ426" s="508">
        <f t="shared" si="159"/>
        <v>188.89</v>
      </c>
      <c r="AK426" s="508">
        <f t="shared" si="160"/>
        <v>31100</v>
      </c>
      <c r="AL426" s="116">
        <v>10</v>
      </c>
      <c r="AM426" s="486">
        <f t="shared" si="161"/>
        <v>4.92</v>
      </c>
      <c r="AN426" s="117">
        <f t="shared" si="166"/>
        <v>5</v>
      </c>
      <c r="AO426" s="487">
        <f t="shared" si="162"/>
        <v>50</v>
      </c>
      <c r="AP426" s="610">
        <f t="shared" si="165"/>
        <v>18</v>
      </c>
    </row>
    <row r="427" spans="1:44" ht="14.25" customHeight="1">
      <c r="A427" s="701">
        <v>421</v>
      </c>
      <c r="B427" s="477"/>
      <c r="C427" s="477" t="s">
        <v>1669</v>
      </c>
      <c r="D427" s="477"/>
      <c r="E427" s="475" t="s">
        <v>1533</v>
      </c>
      <c r="F427" s="477"/>
      <c r="G427" s="579" t="s">
        <v>1963</v>
      </c>
      <c r="H427" s="482">
        <v>10</v>
      </c>
      <c r="I427" s="580">
        <v>41272</v>
      </c>
      <c r="J427" s="580">
        <v>41272</v>
      </c>
      <c r="K427" s="581">
        <v>5042.74</v>
      </c>
      <c r="L427" s="581">
        <v>0</v>
      </c>
      <c r="M427" s="582"/>
      <c r="N427" s="582"/>
      <c r="O427" s="582"/>
      <c r="P427" s="582">
        <f t="shared" si="148"/>
        <v>5042.74</v>
      </c>
      <c r="Q427" s="582">
        <f t="shared" si="149"/>
        <v>0</v>
      </c>
      <c r="R427" s="583">
        <f t="shared" si="150"/>
        <v>5100</v>
      </c>
      <c r="S427" s="668">
        <f t="shared" si="164"/>
        <v>13</v>
      </c>
      <c r="T427" s="584"/>
      <c r="U427" s="585">
        <f>IF(S427="",R427,ROUND(R427*(S427-T427)/100,0))</f>
        <v>663</v>
      </c>
      <c r="V427" s="586" t="str">
        <f t="shared" si="151"/>
        <v/>
      </c>
      <c r="W427" s="477"/>
      <c r="X427" s="619">
        <f t="shared" si="167"/>
        <v>590</v>
      </c>
      <c r="Y427" s="618"/>
      <c r="Z427" s="489">
        <v>600</v>
      </c>
      <c r="AA427" s="361">
        <f t="shared" si="152"/>
        <v>512.82000000000005</v>
      </c>
      <c r="AB427" s="597"/>
      <c r="AC427" s="485">
        <f t="shared" si="153"/>
        <v>0</v>
      </c>
      <c r="AD427" s="597"/>
      <c r="AE427" s="485">
        <f t="shared" si="154"/>
        <v>0</v>
      </c>
      <c r="AF427" s="508">
        <f t="shared" si="155"/>
        <v>0</v>
      </c>
      <c r="AG427" s="508">
        <f t="shared" si="156"/>
        <v>0</v>
      </c>
      <c r="AH427" s="508">
        <f t="shared" si="157"/>
        <v>600</v>
      </c>
      <c r="AI427" s="508">
        <f t="shared" si="158"/>
        <v>0</v>
      </c>
      <c r="AJ427" s="508">
        <f t="shared" si="159"/>
        <v>87.18</v>
      </c>
      <c r="AK427" s="508">
        <f t="shared" si="160"/>
        <v>5100</v>
      </c>
      <c r="AL427" s="116">
        <v>8</v>
      </c>
      <c r="AM427" s="486">
        <f t="shared" si="161"/>
        <v>4.92</v>
      </c>
      <c r="AN427" s="117">
        <f t="shared" si="166"/>
        <v>3</v>
      </c>
      <c r="AO427" s="487">
        <f t="shared" si="162"/>
        <v>38</v>
      </c>
      <c r="AP427" s="610">
        <f t="shared" si="165"/>
        <v>13</v>
      </c>
    </row>
    <row r="428" spans="1:44" ht="14.25" customHeight="1">
      <c r="A428" s="701">
        <v>422</v>
      </c>
      <c r="B428" s="477"/>
      <c r="C428" s="477" t="s">
        <v>1778</v>
      </c>
      <c r="D428" s="477" t="s">
        <v>1405</v>
      </c>
      <c r="E428" s="475" t="s">
        <v>1779</v>
      </c>
      <c r="F428" s="477"/>
      <c r="G428" s="482" t="s">
        <v>1943</v>
      </c>
      <c r="H428" s="482">
        <v>1</v>
      </c>
      <c r="I428" s="580">
        <v>41768</v>
      </c>
      <c r="J428" s="580">
        <v>41768</v>
      </c>
      <c r="K428" s="581">
        <v>13675.21</v>
      </c>
      <c r="L428" s="581">
        <v>1168.82</v>
      </c>
      <c r="M428" s="582"/>
      <c r="N428" s="582"/>
      <c r="O428" s="582"/>
      <c r="P428" s="582">
        <f t="shared" si="148"/>
        <v>13675.21</v>
      </c>
      <c r="Q428" s="582">
        <f t="shared" si="149"/>
        <v>1168.82</v>
      </c>
      <c r="R428" s="583">
        <f t="shared" si="150"/>
        <v>0</v>
      </c>
      <c r="S428" s="584"/>
      <c r="T428" s="584"/>
      <c r="U428" s="585">
        <f>ROUND(R428*(1-T428/100),0)</f>
        <v>0</v>
      </c>
      <c r="V428" s="586">
        <f t="shared" si="151"/>
        <v>-100</v>
      </c>
      <c r="W428" s="611" t="s">
        <v>2050</v>
      </c>
      <c r="X428" s="619">
        <f t="shared" si="167"/>
        <v>16000</v>
      </c>
      <c r="Y428" s="618"/>
      <c r="Z428" s="617">
        <v>0</v>
      </c>
      <c r="AA428" s="361">
        <f t="shared" si="152"/>
        <v>0</v>
      </c>
      <c r="AB428" s="597"/>
      <c r="AC428" s="485">
        <f t="shared" si="153"/>
        <v>0</v>
      </c>
      <c r="AD428" s="597"/>
      <c r="AE428" s="485">
        <f t="shared" si="154"/>
        <v>0</v>
      </c>
      <c r="AF428" s="508">
        <f t="shared" si="155"/>
        <v>0</v>
      </c>
      <c r="AG428" s="508">
        <f t="shared" si="156"/>
        <v>0</v>
      </c>
      <c r="AH428" s="508">
        <f t="shared" si="157"/>
        <v>0</v>
      </c>
      <c r="AI428" s="508">
        <f t="shared" si="158"/>
        <v>0</v>
      </c>
      <c r="AJ428" s="508">
        <f t="shared" si="159"/>
        <v>0</v>
      </c>
      <c r="AK428" s="508">
        <f t="shared" si="160"/>
        <v>0</v>
      </c>
      <c r="AM428" s="486">
        <f t="shared" si="161"/>
        <v>3.56</v>
      </c>
      <c r="AN428" s="117">
        <f t="shared" si="166"/>
        <v>-4</v>
      </c>
      <c r="AO428" s="487">
        <f t="shared" si="162"/>
        <v>909</v>
      </c>
      <c r="AP428" s="610"/>
    </row>
    <row r="429" spans="1:44" ht="14.25" customHeight="1">
      <c r="A429" s="701">
        <v>423</v>
      </c>
      <c r="B429" s="477"/>
      <c r="C429" s="477" t="s">
        <v>1532</v>
      </c>
      <c r="D429" s="477" t="s">
        <v>2053</v>
      </c>
      <c r="E429" s="475" t="s">
        <v>1533</v>
      </c>
      <c r="F429" s="611" t="s">
        <v>2068</v>
      </c>
      <c r="G429" s="579" t="s">
        <v>1945</v>
      </c>
      <c r="H429" s="482">
        <v>1</v>
      </c>
      <c r="I429" s="580">
        <v>40544</v>
      </c>
      <c r="J429" s="580">
        <v>37681</v>
      </c>
      <c r="K429" s="581">
        <v>13320</v>
      </c>
      <c r="L429" s="581">
        <v>0</v>
      </c>
      <c r="M429" s="582"/>
      <c r="N429" s="582"/>
      <c r="O429" s="582"/>
      <c r="P429" s="582">
        <f t="shared" si="148"/>
        <v>13320</v>
      </c>
      <c r="Q429" s="582">
        <f t="shared" si="149"/>
        <v>0</v>
      </c>
      <c r="R429" s="583">
        <f t="shared" si="150"/>
        <v>200</v>
      </c>
      <c r="S429" s="584"/>
      <c r="T429" s="584"/>
      <c r="U429" s="585">
        <f>IF(S429="",R429,ROUND(R429*S429/100,0))</f>
        <v>200</v>
      </c>
      <c r="V429" s="586" t="str">
        <f t="shared" si="151"/>
        <v/>
      </c>
      <c r="W429" s="477"/>
      <c r="X429" s="618">
        <f>P429/H429</f>
        <v>13320</v>
      </c>
      <c r="Y429" s="618"/>
      <c r="Z429" s="617">
        <v>200</v>
      </c>
      <c r="AA429" s="361">
        <f t="shared" si="152"/>
        <v>170.94</v>
      </c>
      <c r="AB429" s="597"/>
      <c r="AC429" s="485">
        <f t="shared" si="153"/>
        <v>0</v>
      </c>
      <c r="AD429" s="597"/>
      <c r="AE429" s="485">
        <f t="shared" si="154"/>
        <v>0</v>
      </c>
      <c r="AF429" s="508">
        <f t="shared" si="155"/>
        <v>0</v>
      </c>
      <c r="AG429" s="508">
        <f t="shared" si="156"/>
        <v>0</v>
      </c>
      <c r="AH429" s="508">
        <f t="shared" si="157"/>
        <v>200</v>
      </c>
      <c r="AI429" s="508">
        <f t="shared" si="158"/>
        <v>0</v>
      </c>
      <c r="AJ429" s="508">
        <f t="shared" si="159"/>
        <v>29.06</v>
      </c>
      <c r="AK429" s="508">
        <f t="shared" si="160"/>
        <v>200</v>
      </c>
      <c r="AL429" s="116">
        <v>8</v>
      </c>
      <c r="AM429" s="486">
        <f t="shared" si="161"/>
        <v>14.76</v>
      </c>
      <c r="AN429" s="117">
        <f t="shared" si="166"/>
        <v>-7</v>
      </c>
      <c r="AO429" s="487">
        <f t="shared" si="162"/>
        <v>-90</v>
      </c>
      <c r="AP429" s="610"/>
    </row>
    <row r="430" spans="1:44" ht="14.25" customHeight="1">
      <c r="A430" s="701">
        <v>424</v>
      </c>
      <c r="B430" s="477"/>
      <c r="C430" s="477" t="s">
        <v>1606</v>
      </c>
      <c r="D430" s="477" t="s">
        <v>1980</v>
      </c>
      <c r="E430" s="475" t="s">
        <v>1604</v>
      </c>
      <c r="F430" s="611" t="s">
        <v>1982</v>
      </c>
      <c r="G430" s="579" t="s">
        <v>1942</v>
      </c>
      <c r="H430" s="482">
        <v>4</v>
      </c>
      <c r="I430" s="580">
        <v>41272</v>
      </c>
      <c r="J430" s="580">
        <v>41272</v>
      </c>
      <c r="K430" s="616">
        <f>29835.06+14917.53</f>
        <v>44752.59</v>
      </c>
      <c r="L430" s="581">
        <v>14544.58</v>
      </c>
      <c r="M430" s="582"/>
      <c r="N430" s="582"/>
      <c r="O430" s="582"/>
      <c r="P430" s="582">
        <f t="shared" si="148"/>
        <v>44752.59</v>
      </c>
      <c r="Q430" s="582">
        <f t="shared" si="149"/>
        <v>14544.58</v>
      </c>
      <c r="R430" s="583">
        <f t="shared" si="150"/>
        <v>37600</v>
      </c>
      <c r="S430" s="668">
        <f>AP430</f>
        <v>13</v>
      </c>
      <c r="T430" s="584">
        <v>4</v>
      </c>
      <c r="U430" s="585">
        <f>IF(S430="",R430,ROUND(R430*(S430-T430)/100,0))</f>
        <v>3384</v>
      </c>
      <c r="V430" s="586">
        <f t="shared" si="151"/>
        <v>-76.73</v>
      </c>
      <c r="W430" s="477"/>
      <c r="X430" s="619">
        <f t="shared" ref="X430:X437" si="168">P430*1.17/H430</f>
        <v>13090.13</v>
      </c>
      <c r="Y430" s="618"/>
      <c r="Z430" s="489">
        <v>11000</v>
      </c>
      <c r="AA430" s="361">
        <f t="shared" si="152"/>
        <v>9401.7099999999991</v>
      </c>
      <c r="AB430" s="597"/>
      <c r="AC430" s="485">
        <f t="shared" si="153"/>
        <v>0</v>
      </c>
      <c r="AD430" s="597"/>
      <c r="AE430" s="485">
        <f t="shared" si="154"/>
        <v>0</v>
      </c>
      <c r="AF430" s="508">
        <f t="shared" si="155"/>
        <v>0</v>
      </c>
      <c r="AG430" s="508">
        <f t="shared" si="156"/>
        <v>0</v>
      </c>
      <c r="AH430" s="508">
        <f t="shared" si="157"/>
        <v>11000</v>
      </c>
      <c r="AI430" s="508">
        <f t="shared" si="158"/>
        <v>0</v>
      </c>
      <c r="AJ430" s="508">
        <f t="shared" si="159"/>
        <v>1598.29</v>
      </c>
      <c r="AK430" s="508">
        <f t="shared" si="160"/>
        <v>37600</v>
      </c>
      <c r="AL430" s="116">
        <v>8</v>
      </c>
      <c r="AM430" s="486">
        <f t="shared" si="161"/>
        <v>4.92</v>
      </c>
      <c r="AN430" s="117">
        <f t="shared" si="166"/>
        <v>3</v>
      </c>
      <c r="AO430" s="487">
        <f t="shared" si="162"/>
        <v>38</v>
      </c>
      <c r="AP430" s="610">
        <f>AO430*AP$4</f>
        <v>13</v>
      </c>
      <c r="AQ430" s="621">
        <v>29835.06</v>
      </c>
      <c r="AR430" s="621">
        <v>9696.39</v>
      </c>
    </row>
    <row r="431" spans="1:44" ht="14.25" customHeight="1">
      <c r="A431" s="701">
        <v>425</v>
      </c>
      <c r="B431" s="477"/>
      <c r="C431" s="477" t="s">
        <v>1603</v>
      </c>
      <c r="D431" s="477" t="s">
        <v>2069</v>
      </c>
      <c r="E431" s="475" t="s">
        <v>1604</v>
      </c>
      <c r="F431" s="477"/>
      <c r="G431" s="579" t="s">
        <v>1942</v>
      </c>
      <c r="H431" s="482">
        <v>6</v>
      </c>
      <c r="I431" s="580">
        <v>40847</v>
      </c>
      <c r="J431" s="580">
        <v>40847</v>
      </c>
      <c r="K431" s="581">
        <v>16271.79</v>
      </c>
      <c r="L431" s="581">
        <v>0</v>
      </c>
      <c r="M431" s="582"/>
      <c r="N431" s="582"/>
      <c r="O431" s="582"/>
      <c r="P431" s="582">
        <f t="shared" si="148"/>
        <v>16271.79</v>
      </c>
      <c r="Q431" s="582">
        <f t="shared" si="149"/>
        <v>0</v>
      </c>
      <c r="R431" s="583">
        <f t="shared" si="150"/>
        <v>1000</v>
      </c>
      <c r="S431" s="584"/>
      <c r="T431" s="584"/>
      <c r="U431" s="585">
        <f>IF(S431="",R431,ROUND(R431*S431/100,0))</f>
        <v>1000</v>
      </c>
      <c r="V431" s="586" t="str">
        <f t="shared" si="151"/>
        <v/>
      </c>
      <c r="W431" s="477"/>
      <c r="X431" s="619">
        <f t="shared" si="168"/>
        <v>3173</v>
      </c>
      <c r="Y431" s="618"/>
      <c r="Z431" s="617">
        <v>200</v>
      </c>
      <c r="AA431" s="361">
        <f t="shared" si="152"/>
        <v>170.94</v>
      </c>
      <c r="AB431" s="597"/>
      <c r="AC431" s="485">
        <f t="shared" si="153"/>
        <v>0</v>
      </c>
      <c r="AD431" s="597"/>
      <c r="AE431" s="485">
        <f t="shared" si="154"/>
        <v>0</v>
      </c>
      <c r="AF431" s="508">
        <f t="shared" si="155"/>
        <v>0</v>
      </c>
      <c r="AG431" s="508">
        <f t="shared" si="156"/>
        <v>0</v>
      </c>
      <c r="AH431" s="508">
        <f t="shared" si="157"/>
        <v>200</v>
      </c>
      <c r="AI431" s="508">
        <f t="shared" si="158"/>
        <v>0</v>
      </c>
      <c r="AJ431" s="508">
        <f t="shared" si="159"/>
        <v>29.06</v>
      </c>
      <c r="AK431" s="508">
        <f t="shared" si="160"/>
        <v>1000</v>
      </c>
      <c r="AL431" s="116">
        <v>6</v>
      </c>
      <c r="AM431" s="486">
        <f t="shared" si="161"/>
        <v>6.09</v>
      </c>
      <c r="AN431" s="117">
        <f t="shared" si="166"/>
        <v>0</v>
      </c>
      <c r="AO431" s="487">
        <f t="shared" si="162"/>
        <v>0</v>
      </c>
      <c r="AP431" s="610"/>
    </row>
    <row r="432" spans="1:44" ht="14.25" customHeight="1">
      <c r="A432" s="701">
        <v>426</v>
      </c>
      <c r="B432" s="477"/>
      <c r="C432" s="477" t="s">
        <v>1606</v>
      </c>
      <c r="D432" s="477" t="s">
        <v>1406</v>
      </c>
      <c r="E432" s="475" t="s">
        <v>1604</v>
      </c>
      <c r="F432" s="477" t="s">
        <v>1605</v>
      </c>
      <c r="G432" s="579" t="s">
        <v>1942</v>
      </c>
      <c r="H432" s="482">
        <v>1</v>
      </c>
      <c r="I432" s="580">
        <v>41573</v>
      </c>
      <c r="J432" s="580">
        <v>41573</v>
      </c>
      <c r="K432" s="581">
        <v>7008.54</v>
      </c>
      <c r="L432" s="581">
        <v>3329.06</v>
      </c>
      <c r="M432" s="582"/>
      <c r="N432" s="582"/>
      <c r="O432" s="582"/>
      <c r="P432" s="582">
        <f t="shared" si="148"/>
        <v>7008.54</v>
      </c>
      <c r="Q432" s="582">
        <f t="shared" si="149"/>
        <v>3329.06</v>
      </c>
      <c r="R432" s="583">
        <f t="shared" si="150"/>
        <v>6800</v>
      </c>
      <c r="S432" s="668">
        <f>AP432</f>
        <v>17</v>
      </c>
      <c r="T432" s="584">
        <v>4</v>
      </c>
      <c r="U432" s="585">
        <f>IF(S432="",R432,ROUND(R432*(S432-T432)/100,0))</f>
        <v>884</v>
      </c>
      <c r="V432" s="586">
        <f t="shared" si="151"/>
        <v>-73.45</v>
      </c>
      <c r="W432" s="477"/>
      <c r="X432" s="619">
        <f t="shared" si="168"/>
        <v>8199.99</v>
      </c>
      <c r="Y432" s="618"/>
      <c r="Z432" s="489">
        <v>8000</v>
      </c>
      <c r="AA432" s="361">
        <f t="shared" si="152"/>
        <v>6837.61</v>
      </c>
      <c r="AB432" s="597"/>
      <c r="AC432" s="485">
        <f t="shared" si="153"/>
        <v>0</v>
      </c>
      <c r="AD432" s="597"/>
      <c r="AE432" s="485">
        <f t="shared" si="154"/>
        <v>0</v>
      </c>
      <c r="AF432" s="508">
        <f t="shared" si="155"/>
        <v>0</v>
      </c>
      <c r="AG432" s="508">
        <f t="shared" si="156"/>
        <v>0</v>
      </c>
      <c r="AH432" s="508">
        <f t="shared" si="157"/>
        <v>8000</v>
      </c>
      <c r="AI432" s="508">
        <f t="shared" si="158"/>
        <v>0</v>
      </c>
      <c r="AJ432" s="508">
        <f t="shared" si="159"/>
        <v>1162.3900000000001</v>
      </c>
      <c r="AK432" s="508">
        <f t="shared" si="160"/>
        <v>6800</v>
      </c>
      <c r="AL432" s="116">
        <v>8</v>
      </c>
      <c r="AM432" s="486">
        <f t="shared" si="161"/>
        <v>4.0999999999999996</v>
      </c>
      <c r="AN432" s="117">
        <f t="shared" si="166"/>
        <v>4</v>
      </c>
      <c r="AO432" s="487">
        <f t="shared" si="162"/>
        <v>49</v>
      </c>
      <c r="AP432" s="610">
        <f>AO432*AP$4</f>
        <v>17</v>
      </c>
    </row>
    <row r="433" spans="1:42" ht="14.25" customHeight="1">
      <c r="A433" s="701">
        <v>427</v>
      </c>
      <c r="B433" s="477"/>
      <c r="C433" s="477" t="s">
        <v>1606</v>
      </c>
      <c r="D433" s="477" t="s">
        <v>1406</v>
      </c>
      <c r="E433" s="475" t="s">
        <v>1604</v>
      </c>
      <c r="F433" s="477" t="s">
        <v>1605</v>
      </c>
      <c r="G433" s="579" t="s">
        <v>1942</v>
      </c>
      <c r="H433" s="482">
        <v>1</v>
      </c>
      <c r="I433" s="580">
        <v>41573</v>
      </c>
      <c r="J433" s="580">
        <v>41573</v>
      </c>
      <c r="K433" s="581">
        <v>7008.55</v>
      </c>
      <c r="L433" s="581">
        <v>3329.07</v>
      </c>
      <c r="M433" s="582"/>
      <c r="N433" s="582"/>
      <c r="O433" s="582"/>
      <c r="P433" s="582">
        <f t="shared" si="148"/>
        <v>7008.55</v>
      </c>
      <c r="Q433" s="582">
        <f t="shared" si="149"/>
        <v>3329.07</v>
      </c>
      <c r="R433" s="583">
        <f t="shared" si="150"/>
        <v>6800</v>
      </c>
      <c r="S433" s="668">
        <f>AP433</f>
        <v>17</v>
      </c>
      <c r="T433" s="584">
        <v>4</v>
      </c>
      <c r="U433" s="585">
        <f>IF(S433="",R433,ROUND(R433*(S433-T433)/100,0))</f>
        <v>884</v>
      </c>
      <c r="V433" s="586">
        <f t="shared" si="151"/>
        <v>-73.45</v>
      </c>
      <c r="W433" s="477"/>
      <c r="X433" s="619">
        <f t="shared" si="168"/>
        <v>8200</v>
      </c>
      <c r="Y433" s="618"/>
      <c r="Z433" s="489">
        <v>8000</v>
      </c>
      <c r="AA433" s="361">
        <f t="shared" si="152"/>
        <v>6837.61</v>
      </c>
      <c r="AB433" s="597"/>
      <c r="AC433" s="485">
        <f t="shared" si="153"/>
        <v>0</v>
      </c>
      <c r="AD433" s="597"/>
      <c r="AE433" s="485">
        <f t="shared" si="154"/>
        <v>0</v>
      </c>
      <c r="AF433" s="508">
        <f t="shared" si="155"/>
        <v>0</v>
      </c>
      <c r="AG433" s="508">
        <f t="shared" si="156"/>
        <v>0</v>
      </c>
      <c r="AH433" s="508">
        <f t="shared" si="157"/>
        <v>8000</v>
      </c>
      <c r="AI433" s="508">
        <f t="shared" si="158"/>
        <v>0</v>
      </c>
      <c r="AJ433" s="508">
        <f t="shared" si="159"/>
        <v>1162.3900000000001</v>
      </c>
      <c r="AK433" s="508">
        <f t="shared" si="160"/>
        <v>6800</v>
      </c>
      <c r="AL433" s="116">
        <v>8</v>
      </c>
      <c r="AM433" s="486">
        <f t="shared" si="161"/>
        <v>4.0999999999999996</v>
      </c>
      <c r="AN433" s="117">
        <f t="shared" si="166"/>
        <v>4</v>
      </c>
      <c r="AO433" s="487">
        <f t="shared" si="162"/>
        <v>49</v>
      </c>
      <c r="AP433" s="610">
        <f>AO433*AP$4</f>
        <v>17</v>
      </c>
    </row>
    <row r="434" spans="1:42" ht="14.25" customHeight="1">
      <c r="A434" s="701">
        <v>428</v>
      </c>
      <c r="B434" s="477"/>
      <c r="C434" s="477" t="s">
        <v>1603</v>
      </c>
      <c r="D434" s="477" t="s">
        <v>1407</v>
      </c>
      <c r="E434" s="475" t="s">
        <v>1604</v>
      </c>
      <c r="F434" s="477" t="s">
        <v>1605</v>
      </c>
      <c r="G434" s="579" t="s">
        <v>1942</v>
      </c>
      <c r="H434" s="482">
        <v>1</v>
      </c>
      <c r="I434" s="580">
        <v>40847</v>
      </c>
      <c r="J434" s="580">
        <v>40847</v>
      </c>
      <c r="K434" s="581">
        <v>3247.87</v>
      </c>
      <c r="L434" s="581">
        <v>0</v>
      </c>
      <c r="M434" s="582"/>
      <c r="N434" s="582"/>
      <c r="O434" s="582"/>
      <c r="P434" s="582">
        <f t="shared" si="148"/>
        <v>3247.87</v>
      </c>
      <c r="Q434" s="582">
        <f t="shared" si="149"/>
        <v>0</v>
      </c>
      <c r="R434" s="583">
        <f t="shared" si="150"/>
        <v>200</v>
      </c>
      <c r="S434" s="584"/>
      <c r="T434" s="584"/>
      <c r="U434" s="585">
        <f>IF(S434="",R434,ROUND(R434*S434/100,0))</f>
        <v>200</v>
      </c>
      <c r="V434" s="586" t="str">
        <f t="shared" si="151"/>
        <v/>
      </c>
      <c r="W434" s="477"/>
      <c r="X434" s="619">
        <f t="shared" si="168"/>
        <v>3800.01</v>
      </c>
      <c r="Y434" s="618"/>
      <c r="Z434" s="617">
        <v>200</v>
      </c>
      <c r="AA434" s="361">
        <f t="shared" si="152"/>
        <v>170.94</v>
      </c>
      <c r="AB434" s="597"/>
      <c r="AC434" s="485">
        <f t="shared" si="153"/>
        <v>0</v>
      </c>
      <c r="AD434" s="597"/>
      <c r="AE434" s="485">
        <f t="shared" si="154"/>
        <v>0</v>
      </c>
      <c r="AF434" s="508">
        <f t="shared" si="155"/>
        <v>0</v>
      </c>
      <c r="AG434" s="508">
        <f t="shared" si="156"/>
        <v>0</v>
      </c>
      <c r="AH434" s="508">
        <f t="shared" si="157"/>
        <v>200</v>
      </c>
      <c r="AI434" s="508">
        <f t="shared" si="158"/>
        <v>0</v>
      </c>
      <c r="AJ434" s="508">
        <f t="shared" si="159"/>
        <v>29.06</v>
      </c>
      <c r="AK434" s="508">
        <f t="shared" si="160"/>
        <v>200</v>
      </c>
      <c r="AL434" s="116">
        <v>6</v>
      </c>
      <c r="AM434" s="486">
        <f t="shared" si="161"/>
        <v>6.09</v>
      </c>
      <c r="AN434" s="117">
        <f t="shared" si="166"/>
        <v>0</v>
      </c>
      <c r="AO434" s="487">
        <f t="shared" si="162"/>
        <v>0</v>
      </c>
      <c r="AP434" s="610"/>
    </row>
    <row r="435" spans="1:42" ht="14.25" customHeight="1">
      <c r="A435" s="701">
        <v>429</v>
      </c>
      <c r="B435" s="477"/>
      <c r="C435" s="477" t="s">
        <v>1603</v>
      </c>
      <c r="D435" s="477" t="s">
        <v>1407</v>
      </c>
      <c r="E435" s="475" t="s">
        <v>1604</v>
      </c>
      <c r="F435" s="477" t="s">
        <v>1605</v>
      </c>
      <c r="G435" s="579" t="s">
        <v>1942</v>
      </c>
      <c r="H435" s="482">
        <v>1</v>
      </c>
      <c r="I435" s="580">
        <v>40847</v>
      </c>
      <c r="J435" s="580">
        <v>40847</v>
      </c>
      <c r="K435" s="581">
        <v>3247.86</v>
      </c>
      <c r="L435" s="581">
        <v>0</v>
      </c>
      <c r="M435" s="582"/>
      <c r="N435" s="582"/>
      <c r="O435" s="582"/>
      <c r="P435" s="582">
        <f t="shared" si="148"/>
        <v>3247.86</v>
      </c>
      <c r="Q435" s="582">
        <f t="shared" si="149"/>
        <v>0</v>
      </c>
      <c r="R435" s="583">
        <f t="shared" si="150"/>
        <v>200</v>
      </c>
      <c r="S435" s="584"/>
      <c r="T435" s="584"/>
      <c r="U435" s="585">
        <f>IF(S435="",R435,ROUND(R435*S435/100,0))</f>
        <v>200</v>
      </c>
      <c r="V435" s="586" t="str">
        <f t="shared" si="151"/>
        <v/>
      </c>
      <c r="W435" s="477"/>
      <c r="X435" s="619">
        <f t="shared" si="168"/>
        <v>3800</v>
      </c>
      <c r="Y435" s="618"/>
      <c r="Z435" s="617">
        <v>200</v>
      </c>
      <c r="AA435" s="361">
        <f t="shared" si="152"/>
        <v>170.94</v>
      </c>
      <c r="AB435" s="597"/>
      <c r="AC435" s="485">
        <f t="shared" si="153"/>
        <v>0</v>
      </c>
      <c r="AD435" s="597"/>
      <c r="AE435" s="485">
        <f t="shared" si="154"/>
        <v>0</v>
      </c>
      <c r="AF435" s="508">
        <f t="shared" si="155"/>
        <v>0</v>
      </c>
      <c r="AG435" s="508">
        <f t="shared" si="156"/>
        <v>0</v>
      </c>
      <c r="AH435" s="508">
        <f t="shared" si="157"/>
        <v>200</v>
      </c>
      <c r="AI435" s="508">
        <f t="shared" si="158"/>
        <v>0</v>
      </c>
      <c r="AJ435" s="508">
        <f t="shared" si="159"/>
        <v>29.06</v>
      </c>
      <c r="AK435" s="508">
        <f t="shared" si="160"/>
        <v>200</v>
      </c>
      <c r="AL435" s="116">
        <v>6</v>
      </c>
      <c r="AM435" s="486">
        <f t="shared" si="161"/>
        <v>6.09</v>
      </c>
      <c r="AN435" s="117">
        <f t="shared" si="166"/>
        <v>0</v>
      </c>
      <c r="AO435" s="487">
        <f t="shared" si="162"/>
        <v>0</v>
      </c>
      <c r="AP435" s="610"/>
    </row>
    <row r="436" spans="1:42" ht="14.25" customHeight="1">
      <c r="A436" s="701">
        <v>430</v>
      </c>
      <c r="B436" s="477"/>
      <c r="C436" s="477" t="s">
        <v>1606</v>
      </c>
      <c r="D436" s="477" t="s">
        <v>2071</v>
      </c>
      <c r="E436" s="475" t="s">
        <v>1604</v>
      </c>
      <c r="F436" s="477" t="s">
        <v>1605</v>
      </c>
      <c r="G436" s="579" t="s">
        <v>1942</v>
      </c>
      <c r="H436" s="482">
        <v>1</v>
      </c>
      <c r="I436" s="580">
        <v>42195</v>
      </c>
      <c r="J436" s="580">
        <v>42195</v>
      </c>
      <c r="K436" s="581">
        <v>7991.45</v>
      </c>
      <c r="L436" s="581">
        <v>6313.27</v>
      </c>
      <c r="M436" s="582"/>
      <c r="N436" s="582"/>
      <c r="O436" s="582"/>
      <c r="P436" s="582">
        <f t="shared" si="148"/>
        <v>7991.45</v>
      </c>
      <c r="Q436" s="582">
        <f t="shared" si="149"/>
        <v>6313.27</v>
      </c>
      <c r="R436" s="583">
        <f t="shared" si="150"/>
        <v>7300</v>
      </c>
      <c r="S436" s="668">
        <f t="shared" ref="S436:S447" si="169">AP436</f>
        <v>25</v>
      </c>
      <c r="T436" s="584">
        <v>4</v>
      </c>
      <c r="U436" s="585">
        <f>IF(S436="",R436,ROUND(R436*(S436-T436)/100,0))</f>
        <v>1533</v>
      </c>
      <c r="V436" s="586">
        <f t="shared" si="151"/>
        <v>-75.72</v>
      </c>
      <c r="W436" s="477"/>
      <c r="X436" s="619">
        <f t="shared" si="168"/>
        <v>9350</v>
      </c>
      <c r="Y436" s="618"/>
      <c r="Z436" s="489">
        <v>8500</v>
      </c>
      <c r="AA436" s="361">
        <f t="shared" si="152"/>
        <v>7264.96</v>
      </c>
      <c r="AB436" s="597"/>
      <c r="AC436" s="485">
        <f t="shared" si="153"/>
        <v>0</v>
      </c>
      <c r="AD436" s="597"/>
      <c r="AE436" s="485">
        <f t="shared" si="154"/>
        <v>0</v>
      </c>
      <c r="AF436" s="508">
        <f t="shared" si="155"/>
        <v>0</v>
      </c>
      <c r="AG436" s="508">
        <f t="shared" si="156"/>
        <v>0</v>
      </c>
      <c r="AH436" s="508">
        <f t="shared" si="157"/>
        <v>8500</v>
      </c>
      <c r="AI436" s="508">
        <f t="shared" si="158"/>
        <v>0</v>
      </c>
      <c r="AJ436" s="508">
        <f t="shared" si="159"/>
        <v>1235.04</v>
      </c>
      <c r="AK436" s="508">
        <f t="shared" si="160"/>
        <v>7300</v>
      </c>
      <c r="AL436" s="116">
        <v>8</v>
      </c>
      <c r="AM436" s="486">
        <f t="shared" si="161"/>
        <v>2.39</v>
      </c>
      <c r="AN436" s="117">
        <f t="shared" si="166"/>
        <v>6</v>
      </c>
      <c r="AO436" s="487">
        <f t="shared" si="162"/>
        <v>72</v>
      </c>
      <c r="AP436" s="610">
        <f>AO436*AP$4</f>
        <v>25</v>
      </c>
    </row>
    <row r="437" spans="1:42" ht="14.25" customHeight="1">
      <c r="A437" s="701">
        <v>431</v>
      </c>
      <c r="B437" s="477"/>
      <c r="C437" s="477" t="s">
        <v>1606</v>
      </c>
      <c r="D437" s="477" t="s">
        <v>2070</v>
      </c>
      <c r="E437" s="475" t="s">
        <v>1604</v>
      </c>
      <c r="F437" s="477" t="s">
        <v>1605</v>
      </c>
      <c r="G437" s="579" t="s">
        <v>1942</v>
      </c>
      <c r="H437" s="482">
        <v>1</v>
      </c>
      <c r="I437" s="580">
        <v>40847</v>
      </c>
      <c r="J437" s="580">
        <v>40847</v>
      </c>
      <c r="K437" s="581">
        <v>6666.67</v>
      </c>
      <c r="L437" s="581">
        <v>766.67</v>
      </c>
      <c r="M437" s="582"/>
      <c r="N437" s="582"/>
      <c r="O437" s="582"/>
      <c r="P437" s="582">
        <f t="shared" si="148"/>
        <v>6666.67</v>
      </c>
      <c r="Q437" s="582">
        <f t="shared" si="149"/>
        <v>766.67</v>
      </c>
      <c r="R437" s="583">
        <f t="shared" si="150"/>
        <v>6400</v>
      </c>
      <c r="S437" s="668">
        <f t="shared" si="169"/>
        <v>10</v>
      </c>
      <c r="T437" s="584">
        <v>4</v>
      </c>
      <c r="U437" s="585">
        <f>IF(S437="",R437,ROUND(R437*(S437-T437)/100,0))</f>
        <v>384</v>
      </c>
      <c r="V437" s="586">
        <f t="shared" si="151"/>
        <v>-49.91</v>
      </c>
      <c r="W437" s="477"/>
      <c r="X437" s="619">
        <f t="shared" si="168"/>
        <v>7800</v>
      </c>
      <c r="Y437" s="618"/>
      <c r="Z437" s="489">
        <v>7500</v>
      </c>
      <c r="AA437" s="361">
        <f t="shared" si="152"/>
        <v>6410.26</v>
      </c>
      <c r="AB437" s="597"/>
      <c r="AC437" s="485">
        <f t="shared" si="153"/>
        <v>0</v>
      </c>
      <c r="AD437" s="597"/>
      <c r="AE437" s="485">
        <f t="shared" si="154"/>
        <v>0</v>
      </c>
      <c r="AF437" s="508">
        <f t="shared" si="155"/>
        <v>0</v>
      </c>
      <c r="AG437" s="508">
        <f t="shared" si="156"/>
        <v>0</v>
      </c>
      <c r="AH437" s="508">
        <f t="shared" si="157"/>
        <v>7500</v>
      </c>
      <c r="AI437" s="508">
        <f t="shared" si="158"/>
        <v>0</v>
      </c>
      <c r="AJ437" s="508">
        <f t="shared" si="159"/>
        <v>1089.74</v>
      </c>
      <c r="AK437" s="508">
        <f t="shared" si="160"/>
        <v>6400</v>
      </c>
      <c r="AL437" s="116">
        <v>8</v>
      </c>
      <c r="AM437" s="486">
        <f t="shared" si="161"/>
        <v>6.09</v>
      </c>
      <c r="AN437" s="117">
        <f t="shared" si="166"/>
        <v>2</v>
      </c>
      <c r="AO437" s="487">
        <f t="shared" si="162"/>
        <v>25</v>
      </c>
      <c r="AP437" s="669">
        <v>10</v>
      </c>
    </row>
    <row r="438" spans="1:42" ht="14.25" customHeight="1">
      <c r="A438" s="701">
        <v>432</v>
      </c>
      <c r="B438" s="477"/>
      <c r="C438" s="477" t="s">
        <v>1534</v>
      </c>
      <c r="D438" s="477" t="s">
        <v>1408</v>
      </c>
      <c r="E438" s="475" t="s">
        <v>1533</v>
      </c>
      <c r="F438" s="477"/>
      <c r="G438" s="579" t="s">
        <v>1952</v>
      </c>
      <c r="H438" s="482">
        <v>1</v>
      </c>
      <c r="I438" s="580">
        <v>41273</v>
      </c>
      <c r="J438" s="580">
        <v>41273</v>
      </c>
      <c r="K438" s="581">
        <v>3685</v>
      </c>
      <c r="L438" s="581">
        <v>0</v>
      </c>
      <c r="M438" s="582"/>
      <c r="N438" s="582"/>
      <c r="O438" s="582"/>
      <c r="P438" s="582">
        <f t="shared" si="148"/>
        <v>3685</v>
      </c>
      <c r="Q438" s="582">
        <f t="shared" si="149"/>
        <v>0</v>
      </c>
      <c r="R438" s="583">
        <f t="shared" si="150"/>
        <v>3000</v>
      </c>
      <c r="S438" s="668">
        <f t="shared" si="169"/>
        <v>13</v>
      </c>
      <c r="T438" s="584"/>
      <c r="U438" s="585">
        <f>IF(S438="",R438,ROUND(R438*(S438-T438)/100,0))</f>
        <v>390</v>
      </c>
      <c r="V438" s="586" t="str">
        <f t="shared" si="151"/>
        <v/>
      </c>
      <c r="W438" s="477"/>
      <c r="X438" s="618">
        <f>P438/H438</f>
        <v>3685</v>
      </c>
      <c r="Y438" s="618"/>
      <c r="Z438" s="489">
        <v>3500</v>
      </c>
      <c r="AA438" s="361">
        <f t="shared" si="152"/>
        <v>2991.45</v>
      </c>
      <c r="AB438" s="597"/>
      <c r="AC438" s="485">
        <f t="shared" si="153"/>
        <v>0</v>
      </c>
      <c r="AD438" s="597"/>
      <c r="AE438" s="485">
        <f t="shared" si="154"/>
        <v>0</v>
      </c>
      <c r="AF438" s="508">
        <f t="shared" si="155"/>
        <v>0</v>
      </c>
      <c r="AG438" s="508">
        <f t="shared" si="156"/>
        <v>0</v>
      </c>
      <c r="AH438" s="508">
        <f t="shared" si="157"/>
        <v>3500</v>
      </c>
      <c r="AI438" s="508">
        <f t="shared" si="158"/>
        <v>0</v>
      </c>
      <c r="AJ438" s="508">
        <f t="shared" si="159"/>
        <v>508.55</v>
      </c>
      <c r="AK438" s="508">
        <f t="shared" si="160"/>
        <v>3000</v>
      </c>
      <c r="AL438" s="116">
        <v>8</v>
      </c>
      <c r="AM438" s="486">
        <f t="shared" si="161"/>
        <v>4.92</v>
      </c>
      <c r="AN438" s="117">
        <f t="shared" si="166"/>
        <v>3</v>
      </c>
      <c r="AO438" s="487">
        <f t="shared" si="162"/>
        <v>38</v>
      </c>
      <c r="AP438" s="610">
        <f t="shared" ref="AP438:AP447" si="170">AO438*AP$4</f>
        <v>13</v>
      </c>
    </row>
    <row r="439" spans="1:42" ht="14.25" customHeight="1">
      <c r="A439" s="701">
        <v>433</v>
      </c>
      <c r="B439" s="477"/>
      <c r="C439" s="611" t="s">
        <v>2036</v>
      </c>
      <c r="D439" s="477" t="s">
        <v>1703</v>
      </c>
      <c r="E439" s="475" t="s">
        <v>1533</v>
      </c>
      <c r="F439" s="477" t="s">
        <v>1704</v>
      </c>
      <c r="G439" s="482" t="s">
        <v>1952</v>
      </c>
      <c r="H439" s="482">
        <v>2</v>
      </c>
      <c r="I439" s="580">
        <v>41090</v>
      </c>
      <c r="J439" s="580">
        <v>41090</v>
      </c>
      <c r="K439" s="581">
        <v>55832.58</v>
      </c>
      <c r="L439" s="581">
        <v>1282.05</v>
      </c>
      <c r="M439" s="582"/>
      <c r="N439" s="582"/>
      <c r="O439" s="582"/>
      <c r="P439" s="582">
        <f t="shared" si="148"/>
        <v>55832.58</v>
      </c>
      <c r="Q439" s="582">
        <f t="shared" si="149"/>
        <v>1282.05</v>
      </c>
      <c r="R439" s="583">
        <f t="shared" si="150"/>
        <v>47900</v>
      </c>
      <c r="S439" s="668">
        <f t="shared" si="169"/>
        <v>20</v>
      </c>
      <c r="T439" s="584"/>
      <c r="U439" s="585">
        <f t="shared" ref="U439:U470" si="171">IF(S439="",R439,ROUND(R439*S439/100,0))</f>
        <v>9580</v>
      </c>
      <c r="V439" s="586">
        <f t="shared" si="151"/>
        <v>647.24</v>
      </c>
      <c r="W439" s="477"/>
      <c r="X439" s="619">
        <f t="shared" ref="X439:X448" si="172">P439*1.17/H439</f>
        <v>32662.06</v>
      </c>
      <c r="Y439" s="618"/>
      <c r="Z439" s="489">
        <v>28000</v>
      </c>
      <c r="AA439" s="361">
        <f t="shared" si="152"/>
        <v>23931.62</v>
      </c>
      <c r="AB439" s="597"/>
      <c r="AC439" s="485">
        <f t="shared" si="153"/>
        <v>0</v>
      </c>
      <c r="AD439" s="597"/>
      <c r="AE439" s="485">
        <f t="shared" si="154"/>
        <v>0</v>
      </c>
      <c r="AF439" s="508">
        <f t="shared" si="155"/>
        <v>0</v>
      </c>
      <c r="AG439" s="508">
        <f t="shared" si="156"/>
        <v>0</v>
      </c>
      <c r="AH439" s="508">
        <f t="shared" si="157"/>
        <v>28000</v>
      </c>
      <c r="AI439" s="508">
        <f t="shared" si="158"/>
        <v>0</v>
      </c>
      <c r="AJ439" s="508">
        <f t="shared" si="159"/>
        <v>4068.38</v>
      </c>
      <c r="AK439" s="508">
        <f t="shared" si="160"/>
        <v>47900</v>
      </c>
      <c r="AL439" s="116">
        <v>12</v>
      </c>
      <c r="AM439" s="486">
        <f t="shared" si="161"/>
        <v>5.42</v>
      </c>
      <c r="AN439" s="117">
        <f t="shared" si="166"/>
        <v>7</v>
      </c>
      <c r="AO439" s="487">
        <f t="shared" si="162"/>
        <v>56</v>
      </c>
      <c r="AP439" s="610">
        <f t="shared" si="170"/>
        <v>20</v>
      </c>
    </row>
    <row r="440" spans="1:42" ht="14.25" customHeight="1">
      <c r="A440" s="701">
        <v>434</v>
      </c>
      <c r="B440" s="477"/>
      <c r="C440" s="477" t="s">
        <v>1705</v>
      </c>
      <c r="D440" s="477" t="s">
        <v>1409</v>
      </c>
      <c r="E440" s="475" t="s">
        <v>1533</v>
      </c>
      <c r="F440" s="611" t="s">
        <v>2068</v>
      </c>
      <c r="G440" s="482" t="s">
        <v>1952</v>
      </c>
      <c r="H440" s="482">
        <v>4</v>
      </c>
      <c r="I440" s="580">
        <v>41122</v>
      </c>
      <c r="J440" s="580">
        <v>41122</v>
      </c>
      <c r="K440" s="581">
        <v>79295.66</v>
      </c>
      <c r="L440" s="581">
        <v>1709.4</v>
      </c>
      <c r="M440" s="582"/>
      <c r="N440" s="582"/>
      <c r="O440" s="582"/>
      <c r="P440" s="582">
        <f t="shared" si="148"/>
        <v>79295.66</v>
      </c>
      <c r="Q440" s="582">
        <f t="shared" si="149"/>
        <v>1709.4</v>
      </c>
      <c r="R440" s="583">
        <f t="shared" si="150"/>
        <v>68400</v>
      </c>
      <c r="S440" s="668">
        <f t="shared" si="169"/>
        <v>17</v>
      </c>
      <c r="T440" s="584"/>
      <c r="U440" s="585">
        <f t="shared" si="171"/>
        <v>11628</v>
      </c>
      <c r="V440" s="586">
        <f t="shared" si="151"/>
        <v>580.24</v>
      </c>
      <c r="W440" s="477"/>
      <c r="X440" s="619">
        <f t="shared" si="172"/>
        <v>23193.98</v>
      </c>
      <c r="Y440" s="618"/>
      <c r="Z440" s="489">
        <v>20000</v>
      </c>
      <c r="AA440" s="361">
        <f t="shared" si="152"/>
        <v>17094.02</v>
      </c>
      <c r="AB440" s="597"/>
      <c r="AC440" s="485">
        <f t="shared" si="153"/>
        <v>0</v>
      </c>
      <c r="AD440" s="597"/>
      <c r="AE440" s="485">
        <f t="shared" si="154"/>
        <v>0</v>
      </c>
      <c r="AF440" s="508">
        <f t="shared" si="155"/>
        <v>0</v>
      </c>
      <c r="AG440" s="508">
        <f t="shared" si="156"/>
        <v>0</v>
      </c>
      <c r="AH440" s="508">
        <f t="shared" si="157"/>
        <v>20000</v>
      </c>
      <c r="AI440" s="508">
        <f t="shared" si="158"/>
        <v>0</v>
      </c>
      <c r="AJ440" s="508">
        <f t="shared" si="159"/>
        <v>2905.98</v>
      </c>
      <c r="AK440" s="508">
        <f t="shared" si="160"/>
        <v>68400</v>
      </c>
      <c r="AL440" s="116">
        <v>10</v>
      </c>
      <c r="AM440" s="486">
        <f t="shared" si="161"/>
        <v>5.33</v>
      </c>
      <c r="AN440" s="117">
        <f t="shared" si="166"/>
        <v>5</v>
      </c>
      <c r="AO440" s="487">
        <f t="shared" si="162"/>
        <v>48</v>
      </c>
      <c r="AP440" s="610">
        <f t="shared" si="170"/>
        <v>17</v>
      </c>
    </row>
    <row r="441" spans="1:42" ht="14.25" customHeight="1">
      <c r="A441" s="701">
        <v>435</v>
      </c>
      <c r="B441" s="477"/>
      <c r="C441" s="477" t="s">
        <v>2084</v>
      </c>
      <c r="D441" s="477" t="s">
        <v>1410</v>
      </c>
      <c r="E441" s="475" t="s">
        <v>1451</v>
      </c>
      <c r="F441" s="477" t="s">
        <v>1508</v>
      </c>
      <c r="G441" s="482" t="s">
        <v>1952</v>
      </c>
      <c r="H441" s="482">
        <v>2</v>
      </c>
      <c r="I441" s="580">
        <v>40848</v>
      </c>
      <c r="J441" s="580">
        <v>40848</v>
      </c>
      <c r="K441" s="625">
        <v>129538.45</v>
      </c>
      <c r="L441" s="581">
        <v>11071.66</v>
      </c>
      <c r="M441" s="582"/>
      <c r="N441" s="582"/>
      <c r="O441" s="582"/>
      <c r="P441" s="582">
        <f t="shared" si="148"/>
        <v>129538.45</v>
      </c>
      <c r="Q441" s="582">
        <f t="shared" si="149"/>
        <v>11071.66</v>
      </c>
      <c r="R441" s="583">
        <f t="shared" si="150"/>
        <v>128200</v>
      </c>
      <c r="S441" s="668">
        <f t="shared" si="169"/>
        <v>18</v>
      </c>
      <c r="T441" s="584"/>
      <c r="U441" s="585">
        <f t="shared" si="171"/>
        <v>23076</v>
      </c>
      <c r="V441" s="586">
        <f t="shared" si="151"/>
        <v>108.42</v>
      </c>
      <c r="W441" s="477"/>
      <c r="X441" s="619">
        <f t="shared" si="172"/>
        <v>75779.990000000005</v>
      </c>
      <c r="Y441" s="618"/>
      <c r="Z441" s="489">
        <v>75000</v>
      </c>
      <c r="AA441" s="361">
        <f t="shared" si="152"/>
        <v>64102.559999999998</v>
      </c>
      <c r="AB441" s="597"/>
      <c r="AC441" s="485">
        <f t="shared" si="153"/>
        <v>0</v>
      </c>
      <c r="AD441" s="597"/>
      <c r="AE441" s="485">
        <f t="shared" si="154"/>
        <v>0</v>
      </c>
      <c r="AF441" s="508">
        <f t="shared" si="155"/>
        <v>0</v>
      </c>
      <c r="AG441" s="508">
        <f t="shared" si="156"/>
        <v>0</v>
      </c>
      <c r="AH441" s="508">
        <f t="shared" si="157"/>
        <v>75000</v>
      </c>
      <c r="AI441" s="508">
        <f t="shared" si="158"/>
        <v>0</v>
      </c>
      <c r="AJ441" s="508">
        <f t="shared" si="159"/>
        <v>10897.44</v>
      </c>
      <c r="AK441" s="508">
        <f t="shared" si="160"/>
        <v>128200</v>
      </c>
      <c r="AL441" s="116">
        <v>12</v>
      </c>
      <c r="AM441" s="486">
        <f t="shared" si="161"/>
        <v>6.08</v>
      </c>
      <c r="AN441" s="117">
        <f t="shared" si="166"/>
        <v>6</v>
      </c>
      <c r="AO441" s="487">
        <f t="shared" si="162"/>
        <v>50</v>
      </c>
      <c r="AP441" s="610">
        <f t="shared" si="170"/>
        <v>18</v>
      </c>
    </row>
    <row r="442" spans="1:42" ht="14.25" customHeight="1">
      <c r="A442" s="701">
        <v>436</v>
      </c>
      <c r="B442" s="477"/>
      <c r="C442" s="477" t="s">
        <v>2084</v>
      </c>
      <c r="D442" s="477" t="s">
        <v>1411</v>
      </c>
      <c r="E442" s="475" t="s">
        <v>1478</v>
      </c>
      <c r="F442" s="477" t="s">
        <v>1508</v>
      </c>
      <c r="G442" s="482" t="s">
        <v>1952</v>
      </c>
      <c r="H442" s="482">
        <v>1</v>
      </c>
      <c r="I442" s="580">
        <v>41470</v>
      </c>
      <c r="J442" s="580">
        <v>41470</v>
      </c>
      <c r="K442" s="581">
        <v>71606.84</v>
      </c>
      <c r="L442" s="581">
        <v>37593.47</v>
      </c>
      <c r="M442" s="582"/>
      <c r="N442" s="582"/>
      <c r="O442" s="582"/>
      <c r="P442" s="582">
        <f t="shared" si="148"/>
        <v>71606.84</v>
      </c>
      <c r="Q442" s="582">
        <f t="shared" si="149"/>
        <v>37593.47</v>
      </c>
      <c r="R442" s="583">
        <f t="shared" si="150"/>
        <v>70900</v>
      </c>
      <c r="S442" s="668">
        <f t="shared" si="169"/>
        <v>23</v>
      </c>
      <c r="T442" s="584"/>
      <c r="U442" s="585">
        <f t="shared" si="171"/>
        <v>16307</v>
      </c>
      <c r="V442" s="586">
        <f t="shared" si="151"/>
        <v>-56.62</v>
      </c>
      <c r="W442" s="477"/>
      <c r="X442" s="619">
        <f t="shared" si="172"/>
        <v>83780</v>
      </c>
      <c r="Y442" s="618"/>
      <c r="Z442" s="489">
        <v>83000</v>
      </c>
      <c r="AA442" s="361">
        <f t="shared" si="152"/>
        <v>70940.17</v>
      </c>
      <c r="AB442" s="597"/>
      <c r="AC442" s="485">
        <f t="shared" si="153"/>
        <v>0</v>
      </c>
      <c r="AD442" s="597"/>
      <c r="AE442" s="485">
        <f t="shared" si="154"/>
        <v>0</v>
      </c>
      <c r="AF442" s="508">
        <f t="shared" si="155"/>
        <v>0</v>
      </c>
      <c r="AG442" s="508">
        <f t="shared" si="156"/>
        <v>0</v>
      </c>
      <c r="AH442" s="508">
        <f t="shared" si="157"/>
        <v>83000</v>
      </c>
      <c r="AI442" s="508">
        <f t="shared" si="158"/>
        <v>0</v>
      </c>
      <c r="AJ442" s="508">
        <f t="shared" si="159"/>
        <v>12059.83</v>
      </c>
      <c r="AK442" s="508">
        <f t="shared" si="160"/>
        <v>70900</v>
      </c>
      <c r="AL442" s="116">
        <v>12</v>
      </c>
      <c r="AM442" s="486">
        <f t="shared" si="161"/>
        <v>4.38</v>
      </c>
      <c r="AN442" s="117">
        <f t="shared" si="166"/>
        <v>8</v>
      </c>
      <c r="AO442" s="487">
        <f t="shared" si="162"/>
        <v>65</v>
      </c>
      <c r="AP442" s="610">
        <f t="shared" si="170"/>
        <v>23</v>
      </c>
    </row>
    <row r="443" spans="1:42" ht="14.25" customHeight="1">
      <c r="A443" s="701">
        <v>437</v>
      </c>
      <c r="B443" s="477"/>
      <c r="C443" s="477" t="s">
        <v>2084</v>
      </c>
      <c r="D443" s="477" t="s">
        <v>1411</v>
      </c>
      <c r="E443" s="475" t="s">
        <v>1478</v>
      </c>
      <c r="F443" s="477" t="s">
        <v>1508</v>
      </c>
      <c r="G443" s="482" t="s">
        <v>1952</v>
      </c>
      <c r="H443" s="482">
        <v>1</v>
      </c>
      <c r="I443" s="580">
        <v>41470</v>
      </c>
      <c r="J443" s="580">
        <v>41470</v>
      </c>
      <c r="K443" s="581">
        <v>71606.84</v>
      </c>
      <c r="L443" s="581">
        <v>37593.47</v>
      </c>
      <c r="M443" s="582"/>
      <c r="N443" s="582"/>
      <c r="O443" s="582"/>
      <c r="P443" s="582">
        <f t="shared" si="148"/>
        <v>71606.84</v>
      </c>
      <c r="Q443" s="582">
        <f t="shared" si="149"/>
        <v>37593.47</v>
      </c>
      <c r="R443" s="583">
        <f t="shared" si="150"/>
        <v>70900</v>
      </c>
      <c r="S443" s="668">
        <f t="shared" si="169"/>
        <v>23</v>
      </c>
      <c r="T443" s="584"/>
      <c r="U443" s="585">
        <f t="shared" si="171"/>
        <v>16307</v>
      </c>
      <c r="V443" s="586">
        <f t="shared" si="151"/>
        <v>-56.62</v>
      </c>
      <c r="W443" s="477"/>
      <c r="X443" s="619">
        <f t="shared" si="172"/>
        <v>83780</v>
      </c>
      <c r="Y443" s="618"/>
      <c r="Z443" s="489">
        <v>83000</v>
      </c>
      <c r="AA443" s="361">
        <f t="shared" si="152"/>
        <v>70940.17</v>
      </c>
      <c r="AB443" s="597"/>
      <c r="AC443" s="485">
        <f t="shared" si="153"/>
        <v>0</v>
      </c>
      <c r="AD443" s="597"/>
      <c r="AE443" s="485">
        <f t="shared" si="154"/>
        <v>0</v>
      </c>
      <c r="AF443" s="508">
        <f t="shared" si="155"/>
        <v>0</v>
      </c>
      <c r="AG443" s="508">
        <f t="shared" si="156"/>
        <v>0</v>
      </c>
      <c r="AH443" s="508">
        <f t="shared" si="157"/>
        <v>83000</v>
      </c>
      <c r="AI443" s="508">
        <f t="shared" si="158"/>
        <v>0</v>
      </c>
      <c r="AJ443" s="508">
        <f t="shared" si="159"/>
        <v>12059.83</v>
      </c>
      <c r="AK443" s="508">
        <f t="shared" si="160"/>
        <v>70900</v>
      </c>
      <c r="AL443" s="116">
        <v>12</v>
      </c>
      <c r="AM443" s="486">
        <f t="shared" si="161"/>
        <v>4.38</v>
      </c>
      <c r="AN443" s="117">
        <f t="shared" si="166"/>
        <v>8</v>
      </c>
      <c r="AO443" s="487">
        <f t="shared" si="162"/>
        <v>65</v>
      </c>
      <c r="AP443" s="610">
        <f t="shared" si="170"/>
        <v>23</v>
      </c>
    </row>
    <row r="444" spans="1:42" ht="14.25" customHeight="1">
      <c r="A444" s="701">
        <v>438</v>
      </c>
      <c r="B444" s="477"/>
      <c r="C444" s="477" t="s">
        <v>2084</v>
      </c>
      <c r="D444" s="477" t="s">
        <v>1411</v>
      </c>
      <c r="E444" s="475" t="s">
        <v>1478</v>
      </c>
      <c r="F444" s="477" t="s">
        <v>1508</v>
      </c>
      <c r="G444" s="482" t="s">
        <v>1952</v>
      </c>
      <c r="H444" s="482">
        <v>1</v>
      </c>
      <c r="I444" s="580">
        <v>41470</v>
      </c>
      <c r="J444" s="580">
        <v>41470</v>
      </c>
      <c r="K444" s="581">
        <v>79299.149999999994</v>
      </c>
      <c r="L444" s="581">
        <v>41632.04</v>
      </c>
      <c r="M444" s="582"/>
      <c r="N444" s="582"/>
      <c r="O444" s="582"/>
      <c r="P444" s="582">
        <f t="shared" si="148"/>
        <v>79299.149999999994</v>
      </c>
      <c r="Q444" s="582">
        <f t="shared" si="149"/>
        <v>41632.04</v>
      </c>
      <c r="R444" s="583">
        <f t="shared" si="150"/>
        <v>70900</v>
      </c>
      <c r="S444" s="668">
        <f t="shared" si="169"/>
        <v>23</v>
      </c>
      <c r="T444" s="584"/>
      <c r="U444" s="585">
        <f t="shared" si="171"/>
        <v>16307</v>
      </c>
      <c r="V444" s="586">
        <f t="shared" si="151"/>
        <v>-60.83</v>
      </c>
      <c r="W444" s="477"/>
      <c r="X444" s="619">
        <f t="shared" si="172"/>
        <v>92780.01</v>
      </c>
      <c r="Y444" s="618"/>
      <c r="Z444" s="489">
        <v>83000</v>
      </c>
      <c r="AA444" s="361">
        <f t="shared" si="152"/>
        <v>70940.17</v>
      </c>
      <c r="AB444" s="597"/>
      <c r="AC444" s="485">
        <f t="shared" si="153"/>
        <v>0</v>
      </c>
      <c r="AD444" s="597"/>
      <c r="AE444" s="485">
        <f t="shared" si="154"/>
        <v>0</v>
      </c>
      <c r="AF444" s="508">
        <f t="shared" si="155"/>
        <v>0</v>
      </c>
      <c r="AG444" s="508">
        <f t="shared" si="156"/>
        <v>0</v>
      </c>
      <c r="AH444" s="508">
        <f t="shared" si="157"/>
        <v>83000</v>
      </c>
      <c r="AI444" s="508">
        <f t="shared" si="158"/>
        <v>0</v>
      </c>
      <c r="AJ444" s="508">
        <f t="shared" si="159"/>
        <v>12059.83</v>
      </c>
      <c r="AK444" s="508">
        <f t="shared" si="160"/>
        <v>70900</v>
      </c>
      <c r="AL444" s="116">
        <v>12</v>
      </c>
      <c r="AM444" s="486">
        <f t="shared" si="161"/>
        <v>4.38</v>
      </c>
      <c r="AN444" s="117">
        <f t="shared" si="166"/>
        <v>8</v>
      </c>
      <c r="AO444" s="487">
        <f t="shared" si="162"/>
        <v>65</v>
      </c>
      <c r="AP444" s="610">
        <f t="shared" si="170"/>
        <v>23</v>
      </c>
    </row>
    <row r="445" spans="1:42" ht="14.25" customHeight="1">
      <c r="A445" s="701">
        <v>439</v>
      </c>
      <c r="B445" s="477"/>
      <c r="C445" s="477" t="s">
        <v>2084</v>
      </c>
      <c r="D445" s="477" t="s">
        <v>1411</v>
      </c>
      <c r="E445" s="475" t="s">
        <v>1478</v>
      </c>
      <c r="F445" s="477" t="s">
        <v>1508</v>
      </c>
      <c r="G445" s="482" t="s">
        <v>1952</v>
      </c>
      <c r="H445" s="482">
        <v>1</v>
      </c>
      <c r="I445" s="580">
        <v>41470</v>
      </c>
      <c r="J445" s="580">
        <v>41470</v>
      </c>
      <c r="K445" s="581">
        <v>70752.14</v>
      </c>
      <c r="L445" s="581">
        <v>37144.92</v>
      </c>
      <c r="M445" s="582"/>
      <c r="N445" s="582"/>
      <c r="O445" s="582"/>
      <c r="P445" s="582">
        <f t="shared" si="148"/>
        <v>70752.14</v>
      </c>
      <c r="Q445" s="582">
        <f t="shared" si="149"/>
        <v>37144.92</v>
      </c>
      <c r="R445" s="583">
        <f t="shared" si="150"/>
        <v>70900</v>
      </c>
      <c r="S445" s="668">
        <f t="shared" si="169"/>
        <v>23</v>
      </c>
      <c r="T445" s="584"/>
      <c r="U445" s="585">
        <f t="shared" si="171"/>
        <v>16307</v>
      </c>
      <c r="V445" s="586">
        <f t="shared" si="151"/>
        <v>-56.1</v>
      </c>
      <c r="W445" s="477"/>
      <c r="X445" s="619">
        <f t="shared" si="172"/>
        <v>82780</v>
      </c>
      <c r="Y445" s="618"/>
      <c r="Z445" s="489">
        <v>83000</v>
      </c>
      <c r="AA445" s="361">
        <f t="shared" si="152"/>
        <v>70940.17</v>
      </c>
      <c r="AB445" s="597"/>
      <c r="AC445" s="485">
        <f t="shared" si="153"/>
        <v>0</v>
      </c>
      <c r="AD445" s="597"/>
      <c r="AE445" s="485">
        <f t="shared" si="154"/>
        <v>0</v>
      </c>
      <c r="AF445" s="508">
        <f t="shared" si="155"/>
        <v>0</v>
      </c>
      <c r="AG445" s="508">
        <f t="shared" si="156"/>
        <v>0</v>
      </c>
      <c r="AH445" s="508">
        <f t="shared" si="157"/>
        <v>83000</v>
      </c>
      <c r="AI445" s="508">
        <f t="shared" si="158"/>
        <v>0</v>
      </c>
      <c r="AJ445" s="508">
        <f t="shared" si="159"/>
        <v>12059.83</v>
      </c>
      <c r="AK445" s="508">
        <f t="shared" si="160"/>
        <v>70900</v>
      </c>
      <c r="AL445" s="116">
        <v>12</v>
      </c>
      <c r="AM445" s="486">
        <f t="shared" si="161"/>
        <v>4.38</v>
      </c>
      <c r="AN445" s="117">
        <f t="shared" si="166"/>
        <v>8</v>
      </c>
      <c r="AO445" s="487">
        <f t="shared" si="162"/>
        <v>65</v>
      </c>
      <c r="AP445" s="610">
        <f t="shared" si="170"/>
        <v>23</v>
      </c>
    </row>
    <row r="446" spans="1:42" ht="14.25" customHeight="1">
      <c r="A446" s="701">
        <v>440</v>
      </c>
      <c r="B446" s="477"/>
      <c r="C446" s="477" t="s">
        <v>2083</v>
      </c>
      <c r="D446" s="477" t="s">
        <v>1412</v>
      </c>
      <c r="E446" s="475" t="s">
        <v>1478</v>
      </c>
      <c r="F446" s="477" t="s">
        <v>1508</v>
      </c>
      <c r="G446" s="482" t="s">
        <v>1952</v>
      </c>
      <c r="H446" s="482">
        <v>1</v>
      </c>
      <c r="I446" s="580">
        <v>42429</v>
      </c>
      <c r="J446" s="580">
        <v>42429</v>
      </c>
      <c r="K446" s="581">
        <v>12102.3</v>
      </c>
      <c r="L446" s="581">
        <v>11043.34</v>
      </c>
      <c r="M446" s="582"/>
      <c r="N446" s="582"/>
      <c r="O446" s="582"/>
      <c r="P446" s="582">
        <f t="shared" si="148"/>
        <v>12102.3</v>
      </c>
      <c r="Q446" s="582">
        <f t="shared" si="149"/>
        <v>11043.34</v>
      </c>
      <c r="R446" s="583">
        <f t="shared" si="150"/>
        <v>12000</v>
      </c>
      <c r="S446" s="668">
        <f t="shared" si="169"/>
        <v>27</v>
      </c>
      <c r="T446" s="584"/>
      <c r="U446" s="585">
        <f t="shared" si="171"/>
        <v>3240</v>
      </c>
      <c r="V446" s="586">
        <f t="shared" si="151"/>
        <v>-70.66</v>
      </c>
      <c r="W446" s="477"/>
      <c r="X446" s="619">
        <f t="shared" si="172"/>
        <v>14159.69</v>
      </c>
      <c r="Y446" s="618"/>
      <c r="Z446" s="489">
        <v>14000</v>
      </c>
      <c r="AA446" s="361">
        <f t="shared" si="152"/>
        <v>11965.81</v>
      </c>
      <c r="AB446" s="597"/>
      <c r="AC446" s="485">
        <f t="shared" si="153"/>
        <v>0</v>
      </c>
      <c r="AD446" s="597"/>
      <c r="AE446" s="485">
        <f t="shared" si="154"/>
        <v>0</v>
      </c>
      <c r="AF446" s="508">
        <f t="shared" si="155"/>
        <v>0</v>
      </c>
      <c r="AG446" s="508">
        <f t="shared" si="156"/>
        <v>0</v>
      </c>
      <c r="AH446" s="508">
        <f t="shared" si="157"/>
        <v>14000</v>
      </c>
      <c r="AI446" s="508">
        <f t="shared" si="158"/>
        <v>0</v>
      </c>
      <c r="AJ446" s="508">
        <f t="shared" si="159"/>
        <v>2034.19</v>
      </c>
      <c r="AK446" s="508">
        <f t="shared" si="160"/>
        <v>12000</v>
      </c>
      <c r="AL446" s="116">
        <v>8</v>
      </c>
      <c r="AM446" s="486">
        <f t="shared" si="161"/>
        <v>1.75</v>
      </c>
      <c r="AN446" s="117">
        <f t="shared" si="166"/>
        <v>6</v>
      </c>
      <c r="AO446" s="487">
        <f t="shared" si="162"/>
        <v>77</v>
      </c>
      <c r="AP446" s="610">
        <f t="shared" si="170"/>
        <v>27</v>
      </c>
    </row>
    <row r="447" spans="1:42" ht="14.25" customHeight="1">
      <c r="A447" s="701">
        <v>441</v>
      </c>
      <c r="B447" s="477"/>
      <c r="C447" s="477" t="s">
        <v>2083</v>
      </c>
      <c r="D447" s="477" t="s">
        <v>1412</v>
      </c>
      <c r="E447" s="475" t="s">
        <v>1478</v>
      </c>
      <c r="F447" s="477" t="s">
        <v>1508</v>
      </c>
      <c r="G447" s="482" t="s">
        <v>1952</v>
      </c>
      <c r="H447" s="482">
        <v>1</v>
      </c>
      <c r="I447" s="580">
        <v>42429</v>
      </c>
      <c r="J447" s="580">
        <v>42429</v>
      </c>
      <c r="K447" s="581">
        <v>12102.3</v>
      </c>
      <c r="L447" s="581">
        <v>11043.34</v>
      </c>
      <c r="M447" s="582"/>
      <c r="N447" s="582"/>
      <c r="O447" s="582"/>
      <c r="P447" s="582">
        <f t="shared" si="148"/>
        <v>12102.3</v>
      </c>
      <c r="Q447" s="582">
        <f t="shared" si="149"/>
        <v>11043.34</v>
      </c>
      <c r="R447" s="583">
        <f t="shared" si="150"/>
        <v>12000</v>
      </c>
      <c r="S447" s="668">
        <f t="shared" si="169"/>
        <v>27</v>
      </c>
      <c r="T447" s="584"/>
      <c r="U447" s="585">
        <f t="shared" si="171"/>
        <v>3240</v>
      </c>
      <c r="V447" s="586">
        <f t="shared" si="151"/>
        <v>-70.66</v>
      </c>
      <c r="W447" s="477"/>
      <c r="X447" s="619">
        <f t="shared" si="172"/>
        <v>14159.69</v>
      </c>
      <c r="Y447" s="618"/>
      <c r="Z447" s="489">
        <v>14000</v>
      </c>
      <c r="AA447" s="361">
        <f t="shared" si="152"/>
        <v>11965.81</v>
      </c>
      <c r="AB447" s="597"/>
      <c r="AC447" s="485">
        <f t="shared" si="153"/>
        <v>0</v>
      </c>
      <c r="AD447" s="597"/>
      <c r="AE447" s="485">
        <f t="shared" si="154"/>
        <v>0</v>
      </c>
      <c r="AF447" s="508">
        <f t="shared" si="155"/>
        <v>0</v>
      </c>
      <c r="AG447" s="508">
        <f t="shared" si="156"/>
        <v>0</v>
      </c>
      <c r="AH447" s="508">
        <f t="shared" si="157"/>
        <v>14000</v>
      </c>
      <c r="AI447" s="508">
        <f t="shared" si="158"/>
        <v>0</v>
      </c>
      <c r="AJ447" s="508">
        <f t="shared" si="159"/>
        <v>2034.19</v>
      </c>
      <c r="AK447" s="508">
        <f t="shared" si="160"/>
        <v>12000</v>
      </c>
      <c r="AL447" s="116">
        <v>8</v>
      </c>
      <c r="AM447" s="486">
        <f t="shared" si="161"/>
        <v>1.75</v>
      </c>
      <c r="AN447" s="117">
        <f t="shared" si="166"/>
        <v>6</v>
      </c>
      <c r="AO447" s="487">
        <f t="shared" si="162"/>
        <v>77</v>
      </c>
      <c r="AP447" s="610">
        <f t="shared" si="170"/>
        <v>27</v>
      </c>
    </row>
    <row r="448" spans="1:42" ht="14.25" customHeight="1">
      <c r="A448" s="701">
        <v>442</v>
      </c>
      <c r="B448" s="477"/>
      <c r="C448" s="477" t="s">
        <v>1504</v>
      </c>
      <c r="D448" s="477" t="s">
        <v>1415</v>
      </c>
      <c r="E448" s="475" t="s">
        <v>1505</v>
      </c>
      <c r="F448" s="477" t="s">
        <v>1506</v>
      </c>
      <c r="G448" s="579" t="s">
        <v>1963</v>
      </c>
      <c r="H448" s="482">
        <v>1</v>
      </c>
      <c r="I448" s="580">
        <v>40603</v>
      </c>
      <c r="J448" s="580">
        <v>40603</v>
      </c>
      <c r="K448" s="581">
        <v>4929.91</v>
      </c>
      <c r="L448" s="581">
        <v>0</v>
      </c>
      <c r="M448" s="582"/>
      <c r="N448" s="582"/>
      <c r="O448" s="582"/>
      <c r="P448" s="582">
        <f t="shared" si="148"/>
        <v>4929.91</v>
      </c>
      <c r="Q448" s="582">
        <f t="shared" si="149"/>
        <v>0</v>
      </c>
      <c r="R448" s="583">
        <f t="shared" si="150"/>
        <v>0</v>
      </c>
      <c r="S448" s="584"/>
      <c r="T448" s="584"/>
      <c r="U448" s="585">
        <f t="shared" si="171"/>
        <v>0</v>
      </c>
      <c r="V448" s="586" t="str">
        <f t="shared" si="151"/>
        <v/>
      </c>
      <c r="W448" s="611" t="s">
        <v>2074</v>
      </c>
      <c r="X448" s="619">
        <f t="shared" si="172"/>
        <v>5767.99</v>
      </c>
      <c r="Y448" s="618"/>
      <c r="Z448" s="617">
        <v>0</v>
      </c>
      <c r="AA448" s="361">
        <f t="shared" si="152"/>
        <v>0</v>
      </c>
      <c r="AB448" s="597"/>
      <c r="AC448" s="485">
        <f t="shared" si="153"/>
        <v>0</v>
      </c>
      <c r="AD448" s="597"/>
      <c r="AE448" s="485">
        <f t="shared" si="154"/>
        <v>0</v>
      </c>
      <c r="AF448" s="508">
        <f t="shared" si="155"/>
        <v>0</v>
      </c>
      <c r="AG448" s="508">
        <f t="shared" si="156"/>
        <v>0</v>
      </c>
      <c r="AH448" s="508">
        <f t="shared" si="157"/>
        <v>0</v>
      </c>
      <c r="AI448" s="508">
        <f t="shared" si="158"/>
        <v>0</v>
      </c>
      <c r="AJ448" s="508">
        <f t="shared" si="159"/>
        <v>0</v>
      </c>
      <c r="AK448" s="508">
        <f t="shared" si="160"/>
        <v>0</v>
      </c>
      <c r="AM448" s="486">
        <f t="shared" si="161"/>
        <v>6.76</v>
      </c>
      <c r="AN448" s="117">
        <f t="shared" si="166"/>
        <v>-7</v>
      </c>
      <c r="AO448" s="487">
        <f t="shared" si="162"/>
        <v>2917</v>
      </c>
      <c r="AP448" s="610"/>
    </row>
    <row r="449" spans="1:42" ht="14.25" customHeight="1">
      <c r="A449" s="701">
        <v>443</v>
      </c>
      <c r="B449" s="477"/>
      <c r="C449" s="477" t="s">
        <v>1538</v>
      </c>
      <c r="D449" s="477"/>
      <c r="E449" s="475" t="s">
        <v>1515</v>
      </c>
      <c r="F449" s="477"/>
      <c r="G449" s="579" t="s">
        <v>1942</v>
      </c>
      <c r="H449" s="482">
        <v>1</v>
      </c>
      <c r="I449" s="580">
        <v>40544</v>
      </c>
      <c r="J449" s="580">
        <v>40544</v>
      </c>
      <c r="K449" s="581">
        <v>2000</v>
      </c>
      <c r="L449" s="581">
        <v>0</v>
      </c>
      <c r="M449" s="582"/>
      <c r="N449" s="582"/>
      <c r="O449" s="582"/>
      <c r="P449" s="582">
        <f t="shared" si="148"/>
        <v>2000</v>
      </c>
      <c r="Q449" s="582">
        <f t="shared" si="149"/>
        <v>0</v>
      </c>
      <c r="R449" s="583">
        <f t="shared" si="150"/>
        <v>50</v>
      </c>
      <c r="S449" s="584"/>
      <c r="T449" s="584"/>
      <c r="U449" s="585">
        <f t="shared" si="171"/>
        <v>50</v>
      </c>
      <c r="V449" s="586" t="str">
        <f t="shared" si="151"/>
        <v/>
      </c>
      <c r="W449" s="477"/>
      <c r="X449" s="618">
        <f>P449/H449</f>
        <v>2000</v>
      </c>
      <c r="Y449" s="618"/>
      <c r="Z449" s="617">
        <v>60</v>
      </c>
      <c r="AA449" s="361">
        <f t="shared" si="152"/>
        <v>51.28</v>
      </c>
      <c r="AB449" s="597"/>
      <c r="AC449" s="485">
        <f t="shared" si="153"/>
        <v>0</v>
      </c>
      <c r="AD449" s="597"/>
      <c r="AE449" s="485">
        <f t="shared" si="154"/>
        <v>0</v>
      </c>
      <c r="AF449" s="508">
        <f t="shared" si="155"/>
        <v>0</v>
      </c>
      <c r="AG449" s="508">
        <f t="shared" si="156"/>
        <v>0</v>
      </c>
      <c r="AH449" s="508">
        <f t="shared" si="157"/>
        <v>60</v>
      </c>
      <c r="AI449" s="508">
        <f t="shared" si="158"/>
        <v>0</v>
      </c>
      <c r="AJ449" s="508">
        <f t="shared" si="159"/>
        <v>8.7200000000000006</v>
      </c>
      <c r="AK449" s="508">
        <f t="shared" ref="AK449:AK480" si="173">ROUND((Z449+AC449+AE449+AF449+AI449-AJ449)*H449,-1)</f>
        <v>50</v>
      </c>
      <c r="AL449" s="116">
        <v>5</v>
      </c>
      <c r="AM449" s="486">
        <f t="shared" si="161"/>
        <v>6.92</v>
      </c>
      <c r="AN449" s="117">
        <f t="shared" si="166"/>
        <v>-2</v>
      </c>
      <c r="AO449" s="487">
        <f t="shared" si="162"/>
        <v>-41</v>
      </c>
      <c r="AP449" s="610"/>
    </row>
    <row r="450" spans="1:42" ht="14.25" customHeight="1">
      <c r="A450" s="701">
        <v>444</v>
      </c>
      <c r="B450" s="477"/>
      <c r="C450" s="477" t="s">
        <v>1536</v>
      </c>
      <c r="D450" s="477"/>
      <c r="E450" s="475" t="s">
        <v>1515</v>
      </c>
      <c r="F450" s="477" t="s">
        <v>1537</v>
      </c>
      <c r="G450" s="579" t="s">
        <v>1942</v>
      </c>
      <c r="H450" s="482">
        <v>1</v>
      </c>
      <c r="I450" s="580">
        <v>40544</v>
      </c>
      <c r="J450" s="580">
        <v>40544</v>
      </c>
      <c r="K450" s="581">
        <v>2000</v>
      </c>
      <c r="L450" s="581">
        <v>0</v>
      </c>
      <c r="M450" s="582"/>
      <c r="N450" s="582"/>
      <c r="O450" s="582"/>
      <c r="P450" s="582">
        <f t="shared" si="148"/>
        <v>2000</v>
      </c>
      <c r="Q450" s="582">
        <f t="shared" si="149"/>
        <v>0</v>
      </c>
      <c r="R450" s="583">
        <f t="shared" si="150"/>
        <v>50</v>
      </c>
      <c r="S450" s="584"/>
      <c r="T450" s="584"/>
      <c r="U450" s="585">
        <f t="shared" si="171"/>
        <v>50</v>
      </c>
      <c r="V450" s="586" t="str">
        <f t="shared" si="151"/>
        <v/>
      </c>
      <c r="W450" s="477"/>
      <c r="X450" s="618">
        <f>P450/H450</f>
        <v>2000</v>
      </c>
      <c r="Y450" s="618"/>
      <c r="Z450" s="617">
        <v>60</v>
      </c>
      <c r="AA450" s="361">
        <f t="shared" si="152"/>
        <v>51.28</v>
      </c>
      <c r="AB450" s="597"/>
      <c r="AC450" s="485">
        <f t="shared" si="153"/>
        <v>0</v>
      </c>
      <c r="AD450" s="597"/>
      <c r="AE450" s="485">
        <f t="shared" si="154"/>
        <v>0</v>
      </c>
      <c r="AF450" s="508">
        <f t="shared" si="155"/>
        <v>0</v>
      </c>
      <c r="AG450" s="508">
        <f t="shared" si="156"/>
        <v>0</v>
      </c>
      <c r="AH450" s="508">
        <f t="shared" si="157"/>
        <v>60</v>
      </c>
      <c r="AI450" s="508">
        <f t="shared" si="158"/>
        <v>0</v>
      </c>
      <c r="AJ450" s="508">
        <f t="shared" si="159"/>
        <v>8.7200000000000006</v>
      </c>
      <c r="AK450" s="508">
        <f t="shared" si="173"/>
        <v>50</v>
      </c>
      <c r="AL450" s="116">
        <v>5</v>
      </c>
      <c r="AM450" s="486">
        <f t="shared" si="161"/>
        <v>6.92</v>
      </c>
      <c r="AN450" s="117">
        <f t="shared" si="166"/>
        <v>-2</v>
      </c>
      <c r="AO450" s="487">
        <f t="shared" si="162"/>
        <v>-41</v>
      </c>
      <c r="AP450" s="610"/>
    </row>
    <row r="451" spans="1:42" ht="14.25" customHeight="1">
      <c r="A451" s="701">
        <v>445</v>
      </c>
      <c r="B451" s="477"/>
      <c r="C451" s="611" t="s">
        <v>1421</v>
      </c>
      <c r="D451" s="477"/>
      <c r="E451" s="475" t="s">
        <v>1515</v>
      </c>
      <c r="F451" s="611" t="s">
        <v>1427</v>
      </c>
      <c r="G451" s="579" t="s">
        <v>1942</v>
      </c>
      <c r="H451" s="482">
        <v>1</v>
      </c>
      <c r="I451" s="580">
        <v>40544</v>
      </c>
      <c r="J451" s="580">
        <v>40544</v>
      </c>
      <c r="K451" s="581">
        <v>2000</v>
      </c>
      <c r="L451" s="581">
        <v>0</v>
      </c>
      <c r="M451" s="582"/>
      <c r="N451" s="582"/>
      <c r="O451" s="582"/>
      <c r="P451" s="582">
        <f t="shared" si="148"/>
        <v>2000</v>
      </c>
      <c r="Q451" s="582">
        <f t="shared" si="149"/>
        <v>0</v>
      </c>
      <c r="R451" s="583">
        <f t="shared" si="150"/>
        <v>50</v>
      </c>
      <c r="S451" s="584"/>
      <c r="T451" s="584"/>
      <c r="U451" s="585">
        <f t="shared" si="171"/>
        <v>50</v>
      </c>
      <c r="V451" s="586" t="str">
        <f t="shared" si="151"/>
        <v/>
      </c>
      <c r="W451" s="477"/>
      <c r="X451" s="618">
        <f>P451/H451</f>
        <v>2000</v>
      </c>
      <c r="Y451" s="618"/>
      <c r="Z451" s="617">
        <v>60</v>
      </c>
      <c r="AA451" s="361">
        <f t="shared" si="152"/>
        <v>51.28</v>
      </c>
      <c r="AB451" s="597"/>
      <c r="AC451" s="485">
        <f t="shared" si="153"/>
        <v>0</v>
      </c>
      <c r="AD451" s="597"/>
      <c r="AE451" s="485">
        <f t="shared" si="154"/>
        <v>0</v>
      </c>
      <c r="AF451" s="508">
        <f t="shared" si="155"/>
        <v>0</v>
      </c>
      <c r="AG451" s="508">
        <f t="shared" si="156"/>
        <v>0</v>
      </c>
      <c r="AH451" s="508">
        <f t="shared" si="157"/>
        <v>60</v>
      </c>
      <c r="AI451" s="508">
        <f t="shared" si="158"/>
        <v>0</v>
      </c>
      <c r="AJ451" s="508">
        <f t="shared" si="159"/>
        <v>8.7200000000000006</v>
      </c>
      <c r="AK451" s="508">
        <f t="shared" si="173"/>
        <v>50</v>
      </c>
      <c r="AL451" s="116">
        <v>5</v>
      </c>
      <c r="AM451" s="486">
        <f t="shared" si="161"/>
        <v>6.92</v>
      </c>
      <c r="AN451" s="117">
        <f t="shared" si="166"/>
        <v>-2</v>
      </c>
      <c r="AO451" s="487">
        <f t="shared" si="162"/>
        <v>-41</v>
      </c>
      <c r="AP451" s="610"/>
    </row>
    <row r="452" spans="1:42" ht="14.25" customHeight="1">
      <c r="A452" s="701">
        <v>446</v>
      </c>
      <c r="B452" s="477"/>
      <c r="C452" s="477" t="s">
        <v>1536</v>
      </c>
      <c r="D452" s="477" t="s">
        <v>1422</v>
      </c>
      <c r="E452" s="475" t="s">
        <v>1515</v>
      </c>
      <c r="F452" s="477" t="s">
        <v>1537</v>
      </c>
      <c r="G452" s="579" t="s">
        <v>1942</v>
      </c>
      <c r="H452" s="482">
        <v>1</v>
      </c>
      <c r="I452" s="580">
        <v>40743</v>
      </c>
      <c r="J452" s="580">
        <v>40743</v>
      </c>
      <c r="K452" s="581">
        <v>2957.26</v>
      </c>
      <c r="L452" s="581">
        <v>0</v>
      </c>
      <c r="M452" s="582"/>
      <c r="N452" s="582"/>
      <c r="O452" s="582"/>
      <c r="P452" s="582">
        <f t="shared" si="148"/>
        <v>2957.26</v>
      </c>
      <c r="Q452" s="582">
        <f t="shared" si="149"/>
        <v>0</v>
      </c>
      <c r="R452" s="583">
        <f t="shared" si="150"/>
        <v>50</v>
      </c>
      <c r="S452" s="584"/>
      <c r="T452" s="584"/>
      <c r="U452" s="585">
        <f t="shared" si="171"/>
        <v>50</v>
      </c>
      <c r="V452" s="586" t="str">
        <f t="shared" si="151"/>
        <v/>
      </c>
      <c r="W452" s="477"/>
      <c r="X452" s="619">
        <f t="shared" ref="X452:X490" si="174">P452*1.17/H452</f>
        <v>3459.99</v>
      </c>
      <c r="Y452" s="618"/>
      <c r="Z452" s="617">
        <v>60</v>
      </c>
      <c r="AA452" s="361">
        <f t="shared" si="152"/>
        <v>51.28</v>
      </c>
      <c r="AB452" s="597"/>
      <c r="AC452" s="485">
        <f t="shared" si="153"/>
        <v>0</v>
      </c>
      <c r="AD452" s="597"/>
      <c r="AE452" s="485">
        <f t="shared" si="154"/>
        <v>0</v>
      </c>
      <c r="AF452" s="508">
        <f t="shared" si="155"/>
        <v>0</v>
      </c>
      <c r="AG452" s="508">
        <f t="shared" si="156"/>
        <v>0</v>
      </c>
      <c r="AH452" s="508">
        <f t="shared" si="157"/>
        <v>60</v>
      </c>
      <c r="AI452" s="508">
        <f t="shared" si="158"/>
        <v>0</v>
      </c>
      <c r="AJ452" s="508">
        <f t="shared" si="159"/>
        <v>8.7200000000000006</v>
      </c>
      <c r="AK452" s="508">
        <f t="shared" si="173"/>
        <v>50</v>
      </c>
      <c r="AL452" s="116">
        <v>5</v>
      </c>
      <c r="AM452" s="486">
        <f t="shared" si="161"/>
        <v>6.37</v>
      </c>
      <c r="AN452" s="117">
        <f t="shared" ref="AN452:AN483" si="175">ROUND((AL452-AM452),0)</f>
        <v>-1</v>
      </c>
      <c r="AO452" s="487">
        <f t="shared" si="162"/>
        <v>-19</v>
      </c>
      <c r="AP452" s="610"/>
    </row>
    <row r="453" spans="1:42" ht="14.25" customHeight="1">
      <c r="A453" s="701">
        <v>447</v>
      </c>
      <c r="B453" s="477"/>
      <c r="C453" s="477" t="s">
        <v>1536</v>
      </c>
      <c r="D453" s="477" t="s">
        <v>1422</v>
      </c>
      <c r="E453" s="475" t="s">
        <v>1515</v>
      </c>
      <c r="F453" s="477" t="s">
        <v>1537</v>
      </c>
      <c r="G453" s="579" t="s">
        <v>1942</v>
      </c>
      <c r="H453" s="482">
        <v>1</v>
      </c>
      <c r="I453" s="580">
        <v>40743</v>
      </c>
      <c r="J453" s="580">
        <v>40743</v>
      </c>
      <c r="K453" s="581">
        <v>2957.26</v>
      </c>
      <c r="L453" s="581">
        <v>0</v>
      </c>
      <c r="M453" s="582"/>
      <c r="N453" s="582"/>
      <c r="O453" s="582"/>
      <c r="P453" s="582">
        <f t="shared" si="148"/>
        <v>2957.26</v>
      </c>
      <c r="Q453" s="582">
        <f t="shared" si="149"/>
        <v>0</v>
      </c>
      <c r="R453" s="583">
        <f t="shared" si="150"/>
        <v>50</v>
      </c>
      <c r="S453" s="584"/>
      <c r="T453" s="584"/>
      <c r="U453" s="585">
        <f t="shared" si="171"/>
        <v>50</v>
      </c>
      <c r="V453" s="586" t="str">
        <f t="shared" si="151"/>
        <v/>
      </c>
      <c r="W453" s="477"/>
      <c r="X453" s="619">
        <f t="shared" si="174"/>
        <v>3459.99</v>
      </c>
      <c r="Y453" s="618"/>
      <c r="Z453" s="617">
        <v>60</v>
      </c>
      <c r="AA453" s="361">
        <f t="shared" si="152"/>
        <v>51.28</v>
      </c>
      <c r="AB453" s="597"/>
      <c r="AC453" s="485">
        <f t="shared" si="153"/>
        <v>0</v>
      </c>
      <c r="AD453" s="597"/>
      <c r="AE453" s="485">
        <f t="shared" si="154"/>
        <v>0</v>
      </c>
      <c r="AF453" s="508">
        <f t="shared" si="155"/>
        <v>0</v>
      </c>
      <c r="AG453" s="508">
        <f t="shared" si="156"/>
        <v>0</v>
      </c>
      <c r="AH453" s="508">
        <f t="shared" si="157"/>
        <v>60</v>
      </c>
      <c r="AI453" s="508">
        <f t="shared" si="158"/>
        <v>0</v>
      </c>
      <c r="AJ453" s="508">
        <f t="shared" si="159"/>
        <v>8.7200000000000006</v>
      </c>
      <c r="AK453" s="508">
        <f t="shared" si="173"/>
        <v>50</v>
      </c>
      <c r="AL453" s="116">
        <v>5</v>
      </c>
      <c r="AM453" s="486">
        <f t="shared" si="161"/>
        <v>6.37</v>
      </c>
      <c r="AN453" s="117">
        <f t="shared" si="175"/>
        <v>-1</v>
      </c>
      <c r="AO453" s="487">
        <f t="shared" si="162"/>
        <v>-19</v>
      </c>
      <c r="AP453" s="610"/>
    </row>
    <row r="454" spans="1:42" ht="14.25" customHeight="1">
      <c r="A454" s="701">
        <v>448</v>
      </c>
      <c r="B454" s="477"/>
      <c r="C454" s="477" t="s">
        <v>1536</v>
      </c>
      <c r="D454" s="477" t="s">
        <v>1422</v>
      </c>
      <c r="E454" s="475" t="s">
        <v>1515</v>
      </c>
      <c r="F454" s="477" t="s">
        <v>1537</v>
      </c>
      <c r="G454" s="579" t="s">
        <v>1942</v>
      </c>
      <c r="H454" s="482">
        <v>1</v>
      </c>
      <c r="I454" s="580">
        <v>40743</v>
      </c>
      <c r="J454" s="580">
        <v>40743</v>
      </c>
      <c r="K454" s="581">
        <v>2957.26</v>
      </c>
      <c r="L454" s="581">
        <v>0</v>
      </c>
      <c r="M454" s="582"/>
      <c r="N454" s="582"/>
      <c r="O454" s="582"/>
      <c r="P454" s="582">
        <f t="shared" si="148"/>
        <v>2957.26</v>
      </c>
      <c r="Q454" s="582">
        <f t="shared" si="149"/>
        <v>0</v>
      </c>
      <c r="R454" s="583">
        <f t="shared" si="150"/>
        <v>50</v>
      </c>
      <c r="S454" s="584"/>
      <c r="T454" s="584"/>
      <c r="U454" s="585">
        <f t="shared" si="171"/>
        <v>50</v>
      </c>
      <c r="V454" s="586" t="str">
        <f t="shared" si="151"/>
        <v/>
      </c>
      <c r="W454" s="477"/>
      <c r="X454" s="619">
        <f t="shared" si="174"/>
        <v>3459.99</v>
      </c>
      <c r="Y454" s="618"/>
      <c r="Z454" s="617">
        <v>60</v>
      </c>
      <c r="AA454" s="361">
        <f t="shared" si="152"/>
        <v>51.28</v>
      </c>
      <c r="AB454" s="597"/>
      <c r="AC454" s="485">
        <f t="shared" si="153"/>
        <v>0</v>
      </c>
      <c r="AD454" s="597"/>
      <c r="AE454" s="485">
        <f t="shared" si="154"/>
        <v>0</v>
      </c>
      <c r="AF454" s="508">
        <f t="shared" si="155"/>
        <v>0</v>
      </c>
      <c r="AG454" s="508">
        <f t="shared" si="156"/>
        <v>0</v>
      </c>
      <c r="AH454" s="508">
        <f t="shared" si="157"/>
        <v>60</v>
      </c>
      <c r="AI454" s="508">
        <f t="shared" si="158"/>
        <v>0</v>
      </c>
      <c r="AJ454" s="508">
        <f t="shared" si="159"/>
        <v>8.7200000000000006</v>
      </c>
      <c r="AK454" s="508">
        <f t="shared" si="173"/>
        <v>50</v>
      </c>
      <c r="AL454" s="116">
        <v>5</v>
      </c>
      <c r="AM454" s="486">
        <f t="shared" si="161"/>
        <v>6.37</v>
      </c>
      <c r="AN454" s="117">
        <f t="shared" si="175"/>
        <v>-1</v>
      </c>
      <c r="AO454" s="487">
        <f t="shared" si="162"/>
        <v>-19</v>
      </c>
      <c r="AP454" s="610"/>
    </row>
    <row r="455" spans="1:42" ht="14.25" customHeight="1">
      <c r="A455" s="701">
        <v>449</v>
      </c>
      <c r="B455" s="477"/>
      <c r="C455" s="477" t="s">
        <v>1536</v>
      </c>
      <c r="D455" s="477" t="s">
        <v>1422</v>
      </c>
      <c r="E455" s="475" t="s">
        <v>1515</v>
      </c>
      <c r="F455" s="477" t="s">
        <v>1537</v>
      </c>
      <c r="G455" s="579" t="s">
        <v>1942</v>
      </c>
      <c r="H455" s="482">
        <v>1</v>
      </c>
      <c r="I455" s="580">
        <v>40743</v>
      </c>
      <c r="J455" s="580">
        <v>40743</v>
      </c>
      <c r="K455" s="581">
        <v>2957.26</v>
      </c>
      <c r="L455" s="581">
        <v>0</v>
      </c>
      <c r="M455" s="582"/>
      <c r="N455" s="582"/>
      <c r="O455" s="582"/>
      <c r="P455" s="582">
        <f t="shared" ref="P455:P506" si="176">K455+N455</f>
        <v>2957.26</v>
      </c>
      <c r="Q455" s="582">
        <f t="shared" ref="Q455:Q506" si="177">L455+O455</f>
        <v>0</v>
      </c>
      <c r="R455" s="583">
        <f t="shared" ref="R455:R506" si="178">AK455</f>
        <v>50</v>
      </c>
      <c r="S455" s="584"/>
      <c r="T455" s="584"/>
      <c r="U455" s="585">
        <f t="shared" si="171"/>
        <v>50</v>
      </c>
      <c r="V455" s="586" t="str">
        <f t="shared" ref="V455:V506" si="179">IF(Q455=0,"",(U455-Q455)/Q455*100)</f>
        <v/>
      </c>
      <c r="W455" s="477"/>
      <c r="X455" s="619">
        <f t="shared" si="174"/>
        <v>3459.99</v>
      </c>
      <c r="Y455" s="618"/>
      <c r="Z455" s="617">
        <v>60</v>
      </c>
      <c r="AA455" s="361">
        <f t="shared" ref="AA455:AA506" si="180">Z455/1.17</f>
        <v>51.28</v>
      </c>
      <c r="AB455" s="597"/>
      <c r="AC455" s="485">
        <f t="shared" ref="AC455:AC506" si="181">Z455*AB455</f>
        <v>0</v>
      </c>
      <c r="AD455" s="597"/>
      <c r="AE455" s="485">
        <f t="shared" ref="AE455:AE506" si="182">Z455*AD455</f>
        <v>0</v>
      </c>
      <c r="AF455" s="508">
        <f t="shared" ref="AF455:AF506" si="183">(Z455+AC455+AE455)*AF$4</f>
        <v>0</v>
      </c>
      <c r="AG455" s="508">
        <f t="shared" ref="AG455:AG506" si="184">(Z455+AC455+AE455)*AG$4</f>
        <v>0</v>
      </c>
      <c r="AH455" s="508">
        <f t="shared" ref="AH455:AH506" si="185">Z455+AC455+AE455+AF455</f>
        <v>60</v>
      </c>
      <c r="AI455" s="508">
        <f t="shared" ref="AI455:AI506" si="186">AH455*AI$3*AI$4/2</f>
        <v>0</v>
      </c>
      <c r="AJ455" s="508">
        <f t="shared" ref="AJ455:AJ506" si="187">Z455*0.17/1.17+AC455*0.11/1.11+AE455*0.11/1.11+AF455-AG455</f>
        <v>8.7200000000000006</v>
      </c>
      <c r="AK455" s="508">
        <f t="shared" si="173"/>
        <v>50</v>
      </c>
      <c r="AL455" s="116">
        <v>5</v>
      </c>
      <c r="AM455" s="486">
        <f t="shared" ref="AM455:AM506" si="188">(AM$4-J455)/365</f>
        <v>6.37</v>
      </c>
      <c r="AN455" s="117">
        <f t="shared" si="175"/>
        <v>-1</v>
      </c>
      <c r="AO455" s="487">
        <f t="shared" ref="AO455:AO506" si="189">AN455/(AM455+AN455)*100</f>
        <v>-19</v>
      </c>
      <c r="AP455" s="610"/>
    </row>
    <row r="456" spans="1:42" ht="14.25" customHeight="1">
      <c r="A456" s="701">
        <v>450</v>
      </c>
      <c r="B456" s="477"/>
      <c r="C456" s="477" t="s">
        <v>1536</v>
      </c>
      <c r="D456" s="477" t="s">
        <v>1422</v>
      </c>
      <c r="E456" s="475" t="s">
        <v>1515</v>
      </c>
      <c r="F456" s="477" t="s">
        <v>1537</v>
      </c>
      <c r="G456" s="579" t="s">
        <v>1942</v>
      </c>
      <c r="H456" s="482">
        <v>1</v>
      </c>
      <c r="I456" s="580">
        <v>40743</v>
      </c>
      <c r="J456" s="580">
        <v>40743</v>
      </c>
      <c r="K456" s="581">
        <v>2957.26</v>
      </c>
      <c r="L456" s="581">
        <v>0</v>
      </c>
      <c r="M456" s="582"/>
      <c r="N456" s="582"/>
      <c r="O456" s="582"/>
      <c r="P456" s="582">
        <f t="shared" si="176"/>
        <v>2957.26</v>
      </c>
      <c r="Q456" s="582">
        <f t="shared" si="177"/>
        <v>0</v>
      </c>
      <c r="R456" s="583">
        <f t="shared" si="178"/>
        <v>50</v>
      </c>
      <c r="S456" s="584"/>
      <c r="T456" s="584"/>
      <c r="U456" s="585">
        <f t="shared" si="171"/>
        <v>50</v>
      </c>
      <c r="V456" s="586" t="str">
        <f t="shared" si="179"/>
        <v/>
      </c>
      <c r="W456" s="477"/>
      <c r="X456" s="619">
        <f t="shared" si="174"/>
        <v>3459.99</v>
      </c>
      <c r="Y456" s="618"/>
      <c r="Z456" s="617">
        <v>60</v>
      </c>
      <c r="AA456" s="361">
        <f t="shared" si="180"/>
        <v>51.28</v>
      </c>
      <c r="AB456" s="597"/>
      <c r="AC456" s="485">
        <f t="shared" si="181"/>
        <v>0</v>
      </c>
      <c r="AD456" s="597"/>
      <c r="AE456" s="485">
        <f t="shared" si="182"/>
        <v>0</v>
      </c>
      <c r="AF456" s="508">
        <f t="shared" si="183"/>
        <v>0</v>
      </c>
      <c r="AG456" s="508">
        <f t="shared" si="184"/>
        <v>0</v>
      </c>
      <c r="AH456" s="508">
        <f t="shared" si="185"/>
        <v>60</v>
      </c>
      <c r="AI456" s="508">
        <f t="shared" si="186"/>
        <v>0</v>
      </c>
      <c r="AJ456" s="508">
        <f t="shared" si="187"/>
        <v>8.7200000000000006</v>
      </c>
      <c r="AK456" s="508">
        <f t="shared" si="173"/>
        <v>50</v>
      </c>
      <c r="AL456" s="116">
        <v>5</v>
      </c>
      <c r="AM456" s="486">
        <f t="shared" si="188"/>
        <v>6.37</v>
      </c>
      <c r="AN456" s="117">
        <f t="shared" si="175"/>
        <v>-1</v>
      </c>
      <c r="AO456" s="487">
        <f t="shared" si="189"/>
        <v>-19</v>
      </c>
      <c r="AP456" s="610"/>
    </row>
    <row r="457" spans="1:42" ht="14.25" customHeight="1">
      <c r="A457" s="701">
        <v>451</v>
      </c>
      <c r="B457" s="477"/>
      <c r="C457" s="477" t="s">
        <v>1536</v>
      </c>
      <c r="D457" s="477" t="s">
        <v>1422</v>
      </c>
      <c r="E457" s="475" t="s">
        <v>1515</v>
      </c>
      <c r="F457" s="477" t="s">
        <v>1537</v>
      </c>
      <c r="G457" s="579" t="s">
        <v>1942</v>
      </c>
      <c r="H457" s="482">
        <v>1</v>
      </c>
      <c r="I457" s="580">
        <v>40743</v>
      </c>
      <c r="J457" s="580">
        <v>40743</v>
      </c>
      <c r="K457" s="581">
        <v>2957.26</v>
      </c>
      <c r="L457" s="581">
        <v>0</v>
      </c>
      <c r="M457" s="582"/>
      <c r="N457" s="582"/>
      <c r="O457" s="582"/>
      <c r="P457" s="582">
        <f t="shared" si="176"/>
        <v>2957.26</v>
      </c>
      <c r="Q457" s="582">
        <f t="shared" si="177"/>
        <v>0</v>
      </c>
      <c r="R457" s="583">
        <f t="shared" si="178"/>
        <v>50</v>
      </c>
      <c r="S457" s="584"/>
      <c r="T457" s="584"/>
      <c r="U457" s="585">
        <f t="shared" si="171"/>
        <v>50</v>
      </c>
      <c r="V457" s="586" t="str">
        <f t="shared" si="179"/>
        <v/>
      </c>
      <c r="W457" s="477"/>
      <c r="X457" s="619">
        <f t="shared" si="174"/>
        <v>3459.99</v>
      </c>
      <c r="Y457" s="618"/>
      <c r="Z457" s="617">
        <v>60</v>
      </c>
      <c r="AA457" s="361">
        <f t="shared" si="180"/>
        <v>51.28</v>
      </c>
      <c r="AB457" s="597"/>
      <c r="AC457" s="485">
        <f t="shared" si="181"/>
        <v>0</v>
      </c>
      <c r="AD457" s="597"/>
      <c r="AE457" s="485">
        <f t="shared" si="182"/>
        <v>0</v>
      </c>
      <c r="AF457" s="508">
        <f t="shared" si="183"/>
        <v>0</v>
      </c>
      <c r="AG457" s="508">
        <f t="shared" si="184"/>
        <v>0</v>
      </c>
      <c r="AH457" s="508">
        <f t="shared" si="185"/>
        <v>60</v>
      </c>
      <c r="AI457" s="508">
        <f t="shared" si="186"/>
        <v>0</v>
      </c>
      <c r="AJ457" s="508">
        <f t="shared" si="187"/>
        <v>8.7200000000000006</v>
      </c>
      <c r="AK457" s="508">
        <f t="shared" si="173"/>
        <v>50</v>
      </c>
      <c r="AL457" s="116">
        <v>5</v>
      </c>
      <c r="AM457" s="486">
        <f t="shared" si="188"/>
        <v>6.37</v>
      </c>
      <c r="AN457" s="117">
        <f t="shared" si="175"/>
        <v>-1</v>
      </c>
      <c r="AO457" s="487">
        <f t="shared" si="189"/>
        <v>-19</v>
      </c>
      <c r="AP457" s="610"/>
    </row>
    <row r="458" spans="1:42" ht="14.25" customHeight="1">
      <c r="A458" s="701">
        <v>452</v>
      </c>
      <c r="B458" s="477"/>
      <c r="C458" s="477" t="s">
        <v>1536</v>
      </c>
      <c r="D458" s="477" t="s">
        <v>1422</v>
      </c>
      <c r="E458" s="475" t="s">
        <v>1515</v>
      </c>
      <c r="F458" s="477" t="s">
        <v>1537</v>
      </c>
      <c r="G458" s="579" t="s">
        <v>1942</v>
      </c>
      <c r="H458" s="482">
        <v>1</v>
      </c>
      <c r="I458" s="580">
        <v>40743</v>
      </c>
      <c r="J458" s="580">
        <v>40743</v>
      </c>
      <c r="K458" s="581">
        <v>2957.26</v>
      </c>
      <c r="L458" s="581">
        <v>0</v>
      </c>
      <c r="M458" s="582"/>
      <c r="N458" s="582"/>
      <c r="O458" s="582"/>
      <c r="P458" s="582">
        <f t="shared" si="176"/>
        <v>2957.26</v>
      </c>
      <c r="Q458" s="582">
        <f t="shared" si="177"/>
        <v>0</v>
      </c>
      <c r="R458" s="583">
        <f t="shared" si="178"/>
        <v>50</v>
      </c>
      <c r="S458" s="584"/>
      <c r="T458" s="584"/>
      <c r="U458" s="585">
        <f t="shared" si="171"/>
        <v>50</v>
      </c>
      <c r="V458" s="586" t="str">
        <f t="shared" si="179"/>
        <v/>
      </c>
      <c r="W458" s="477"/>
      <c r="X458" s="619">
        <f t="shared" si="174"/>
        <v>3459.99</v>
      </c>
      <c r="Y458" s="618"/>
      <c r="Z458" s="617">
        <v>60</v>
      </c>
      <c r="AA458" s="361">
        <f t="shared" si="180"/>
        <v>51.28</v>
      </c>
      <c r="AB458" s="597"/>
      <c r="AC458" s="485">
        <f t="shared" si="181"/>
        <v>0</v>
      </c>
      <c r="AD458" s="597"/>
      <c r="AE458" s="485">
        <f t="shared" si="182"/>
        <v>0</v>
      </c>
      <c r="AF458" s="508">
        <f t="shared" si="183"/>
        <v>0</v>
      </c>
      <c r="AG458" s="508">
        <f t="shared" si="184"/>
        <v>0</v>
      </c>
      <c r="AH458" s="508">
        <f t="shared" si="185"/>
        <v>60</v>
      </c>
      <c r="AI458" s="508">
        <f t="shared" si="186"/>
        <v>0</v>
      </c>
      <c r="AJ458" s="508">
        <f t="shared" si="187"/>
        <v>8.7200000000000006</v>
      </c>
      <c r="AK458" s="508">
        <f t="shared" si="173"/>
        <v>50</v>
      </c>
      <c r="AL458" s="116">
        <v>5</v>
      </c>
      <c r="AM458" s="486">
        <f t="shared" si="188"/>
        <v>6.37</v>
      </c>
      <c r="AN458" s="117">
        <f t="shared" si="175"/>
        <v>-1</v>
      </c>
      <c r="AO458" s="487">
        <f t="shared" si="189"/>
        <v>-19</v>
      </c>
      <c r="AP458" s="610"/>
    </row>
    <row r="459" spans="1:42" ht="14.25" customHeight="1">
      <c r="A459" s="701">
        <v>453</v>
      </c>
      <c r="B459" s="477"/>
      <c r="C459" s="477" t="s">
        <v>1536</v>
      </c>
      <c r="D459" s="477" t="s">
        <v>1422</v>
      </c>
      <c r="E459" s="475" t="s">
        <v>1515</v>
      </c>
      <c r="F459" s="477" t="s">
        <v>1537</v>
      </c>
      <c r="G459" s="579" t="s">
        <v>1942</v>
      </c>
      <c r="H459" s="482">
        <v>1</v>
      </c>
      <c r="I459" s="580">
        <v>40743</v>
      </c>
      <c r="J459" s="580">
        <v>40743</v>
      </c>
      <c r="K459" s="581">
        <v>2957.26</v>
      </c>
      <c r="L459" s="581">
        <v>0</v>
      </c>
      <c r="M459" s="582"/>
      <c r="N459" s="582"/>
      <c r="O459" s="582"/>
      <c r="P459" s="582">
        <f t="shared" si="176"/>
        <v>2957.26</v>
      </c>
      <c r="Q459" s="582">
        <f t="shared" si="177"/>
        <v>0</v>
      </c>
      <c r="R459" s="583">
        <f t="shared" si="178"/>
        <v>50</v>
      </c>
      <c r="S459" s="584"/>
      <c r="T459" s="584"/>
      <c r="U459" s="585">
        <f t="shared" si="171"/>
        <v>50</v>
      </c>
      <c r="V459" s="586" t="str">
        <f t="shared" si="179"/>
        <v/>
      </c>
      <c r="W459" s="477"/>
      <c r="X459" s="619">
        <f t="shared" si="174"/>
        <v>3459.99</v>
      </c>
      <c r="Y459" s="618"/>
      <c r="Z459" s="617">
        <v>60</v>
      </c>
      <c r="AA459" s="361">
        <f t="shared" si="180"/>
        <v>51.28</v>
      </c>
      <c r="AB459" s="597"/>
      <c r="AC459" s="485">
        <f t="shared" si="181"/>
        <v>0</v>
      </c>
      <c r="AD459" s="597"/>
      <c r="AE459" s="485">
        <f t="shared" si="182"/>
        <v>0</v>
      </c>
      <c r="AF459" s="508">
        <f t="shared" si="183"/>
        <v>0</v>
      </c>
      <c r="AG459" s="508">
        <f t="shared" si="184"/>
        <v>0</v>
      </c>
      <c r="AH459" s="508">
        <f t="shared" si="185"/>
        <v>60</v>
      </c>
      <c r="AI459" s="508">
        <f t="shared" si="186"/>
        <v>0</v>
      </c>
      <c r="AJ459" s="508">
        <f t="shared" si="187"/>
        <v>8.7200000000000006</v>
      </c>
      <c r="AK459" s="508">
        <f t="shared" si="173"/>
        <v>50</v>
      </c>
      <c r="AL459" s="116">
        <v>5</v>
      </c>
      <c r="AM459" s="486">
        <f t="shared" si="188"/>
        <v>6.37</v>
      </c>
      <c r="AN459" s="117">
        <f t="shared" si="175"/>
        <v>-1</v>
      </c>
      <c r="AO459" s="487">
        <f t="shared" si="189"/>
        <v>-19</v>
      </c>
      <c r="AP459" s="610"/>
    </row>
    <row r="460" spans="1:42" ht="14.25" customHeight="1">
      <c r="A460" s="701">
        <v>454</v>
      </c>
      <c r="B460" s="477"/>
      <c r="C460" s="477" t="s">
        <v>1536</v>
      </c>
      <c r="D460" s="477" t="s">
        <v>1422</v>
      </c>
      <c r="E460" s="475" t="s">
        <v>1515</v>
      </c>
      <c r="F460" s="477" t="s">
        <v>1537</v>
      </c>
      <c r="G460" s="579" t="s">
        <v>1942</v>
      </c>
      <c r="H460" s="482">
        <v>1</v>
      </c>
      <c r="I460" s="580">
        <v>40743</v>
      </c>
      <c r="J460" s="580">
        <v>40743</v>
      </c>
      <c r="K460" s="581">
        <v>2957.26</v>
      </c>
      <c r="L460" s="581">
        <v>0</v>
      </c>
      <c r="M460" s="582"/>
      <c r="N460" s="582"/>
      <c r="O460" s="582"/>
      <c r="P460" s="582">
        <f t="shared" si="176"/>
        <v>2957.26</v>
      </c>
      <c r="Q460" s="582">
        <f t="shared" si="177"/>
        <v>0</v>
      </c>
      <c r="R460" s="583">
        <f t="shared" si="178"/>
        <v>50</v>
      </c>
      <c r="S460" s="584"/>
      <c r="T460" s="584"/>
      <c r="U460" s="585">
        <f t="shared" si="171"/>
        <v>50</v>
      </c>
      <c r="V460" s="586" t="str">
        <f t="shared" si="179"/>
        <v/>
      </c>
      <c r="W460" s="477"/>
      <c r="X460" s="619">
        <f t="shared" si="174"/>
        <v>3459.99</v>
      </c>
      <c r="Y460" s="618"/>
      <c r="Z460" s="617">
        <v>60</v>
      </c>
      <c r="AA460" s="361">
        <f t="shared" si="180"/>
        <v>51.28</v>
      </c>
      <c r="AB460" s="597"/>
      <c r="AC460" s="485">
        <f t="shared" si="181"/>
        <v>0</v>
      </c>
      <c r="AD460" s="597"/>
      <c r="AE460" s="485">
        <f t="shared" si="182"/>
        <v>0</v>
      </c>
      <c r="AF460" s="508">
        <f t="shared" si="183"/>
        <v>0</v>
      </c>
      <c r="AG460" s="508">
        <f t="shared" si="184"/>
        <v>0</v>
      </c>
      <c r="AH460" s="508">
        <f t="shared" si="185"/>
        <v>60</v>
      </c>
      <c r="AI460" s="508">
        <f t="shared" si="186"/>
        <v>0</v>
      </c>
      <c r="AJ460" s="508">
        <f t="shared" si="187"/>
        <v>8.7200000000000006</v>
      </c>
      <c r="AK460" s="508">
        <f t="shared" si="173"/>
        <v>50</v>
      </c>
      <c r="AL460" s="116">
        <v>5</v>
      </c>
      <c r="AM460" s="486">
        <f t="shared" si="188"/>
        <v>6.37</v>
      </c>
      <c r="AN460" s="117">
        <f t="shared" si="175"/>
        <v>-1</v>
      </c>
      <c r="AO460" s="487">
        <f t="shared" si="189"/>
        <v>-19</v>
      </c>
      <c r="AP460" s="610"/>
    </row>
    <row r="461" spans="1:42" ht="14.25" customHeight="1">
      <c r="A461" s="701">
        <v>455</v>
      </c>
      <c r="B461" s="477"/>
      <c r="C461" s="477" t="s">
        <v>1536</v>
      </c>
      <c r="D461" s="477" t="s">
        <v>1422</v>
      </c>
      <c r="E461" s="475" t="s">
        <v>1515</v>
      </c>
      <c r="F461" s="477" t="s">
        <v>1537</v>
      </c>
      <c r="G461" s="579" t="s">
        <v>1942</v>
      </c>
      <c r="H461" s="482">
        <v>1</v>
      </c>
      <c r="I461" s="580">
        <v>40743</v>
      </c>
      <c r="J461" s="580">
        <v>40743</v>
      </c>
      <c r="K461" s="581">
        <v>2957.26</v>
      </c>
      <c r="L461" s="581">
        <v>0</v>
      </c>
      <c r="M461" s="582"/>
      <c r="N461" s="582"/>
      <c r="O461" s="582"/>
      <c r="P461" s="582">
        <f t="shared" si="176"/>
        <v>2957.26</v>
      </c>
      <c r="Q461" s="582">
        <f t="shared" si="177"/>
        <v>0</v>
      </c>
      <c r="R461" s="583">
        <f t="shared" si="178"/>
        <v>50</v>
      </c>
      <c r="S461" s="584"/>
      <c r="T461" s="584"/>
      <c r="U461" s="585">
        <f t="shared" si="171"/>
        <v>50</v>
      </c>
      <c r="V461" s="586" t="str">
        <f t="shared" si="179"/>
        <v/>
      </c>
      <c r="W461" s="477"/>
      <c r="X461" s="619">
        <f t="shared" si="174"/>
        <v>3459.99</v>
      </c>
      <c r="Y461" s="618"/>
      <c r="Z461" s="617">
        <v>60</v>
      </c>
      <c r="AA461" s="361">
        <f t="shared" si="180"/>
        <v>51.28</v>
      </c>
      <c r="AB461" s="597"/>
      <c r="AC461" s="485">
        <f t="shared" si="181"/>
        <v>0</v>
      </c>
      <c r="AD461" s="597"/>
      <c r="AE461" s="485">
        <f t="shared" si="182"/>
        <v>0</v>
      </c>
      <c r="AF461" s="508">
        <f t="shared" si="183"/>
        <v>0</v>
      </c>
      <c r="AG461" s="508">
        <f t="shared" si="184"/>
        <v>0</v>
      </c>
      <c r="AH461" s="508">
        <f t="shared" si="185"/>
        <v>60</v>
      </c>
      <c r="AI461" s="508">
        <f t="shared" si="186"/>
        <v>0</v>
      </c>
      <c r="AJ461" s="508">
        <f t="shared" si="187"/>
        <v>8.7200000000000006</v>
      </c>
      <c r="AK461" s="508">
        <f t="shared" si="173"/>
        <v>50</v>
      </c>
      <c r="AL461" s="116">
        <v>5</v>
      </c>
      <c r="AM461" s="486">
        <f t="shared" si="188"/>
        <v>6.37</v>
      </c>
      <c r="AN461" s="117">
        <f t="shared" si="175"/>
        <v>-1</v>
      </c>
      <c r="AO461" s="487">
        <f t="shared" si="189"/>
        <v>-19</v>
      </c>
      <c r="AP461" s="610"/>
    </row>
    <row r="462" spans="1:42" ht="14.25" customHeight="1">
      <c r="A462" s="701">
        <v>456</v>
      </c>
      <c r="B462" s="477"/>
      <c r="C462" s="477" t="s">
        <v>1536</v>
      </c>
      <c r="D462" s="477" t="s">
        <v>1422</v>
      </c>
      <c r="E462" s="475" t="s">
        <v>1515</v>
      </c>
      <c r="F462" s="477" t="s">
        <v>1537</v>
      </c>
      <c r="G462" s="579" t="s">
        <v>1942</v>
      </c>
      <c r="H462" s="482">
        <v>1</v>
      </c>
      <c r="I462" s="580">
        <v>40743</v>
      </c>
      <c r="J462" s="580">
        <v>40743</v>
      </c>
      <c r="K462" s="581">
        <v>2957.26</v>
      </c>
      <c r="L462" s="581">
        <v>0</v>
      </c>
      <c r="M462" s="582"/>
      <c r="N462" s="582"/>
      <c r="O462" s="582"/>
      <c r="P462" s="582">
        <f t="shared" si="176"/>
        <v>2957.26</v>
      </c>
      <c r="Q462" s="582">
        <f t="shared" si="177"/>
        <v>0</v>
      </c>
      <c r="R462" s="583">
        <f t="shared" si="178"/>
        <v>50</v>
      </c>
      <c r="S462" s="584"/>
      <c r="T462" s="584"/>
      <c r="U462" s="585">
        <f t="shared" si="171"/>
        <v>50</v>
      </c>
      <c r="V462" s="586" t="str">
        <f t="shared" si="179"/>
        <v/>
      </c>
      <c r="W462" s="477"/>
      <c r="X462" s="619">
        <f t="shared" si="174"/>
        <v>3459.99</v>
      </c>
      <c r="Y462" s="618"/>
      <c r="Z462" s="617">
        <v>60</v>
      </c>
      <c r="AA462" s="361">
        <f t="shared" si="180"/>
        <v>51.28</v>
      </c>
      <c r="AB462" s="597"/>
      <c r="AC462" s="485">
        <f t="shared" si="181"/>
        <v>0</v>
      </c>
      <c r="AD462" s="597"/>
      <c r="AE462" s="485">
        <f t="shared" si="182"/>
        <v>0</v>
      </c>
      <c r="AF462" s="508">
        <f t="shared" si="183"/>
        <v>0</v>
      </c>
      <c r="AG462" s="508">
        <f t="shared" si="184"/>
        <v>0</v>
      </c>
      <c r="AH462" s="508">
        <f t="shared" si="185"/>
        <v>60</v>
      </c>
      <c r="AI462" s="508">
        <f t="shared" si="186"/>
        <v>0</v>
      </c>
      <c r="AJ462" s="508">
        <f t="shared" si="187"/>
        <v>8.7200000000000006</v>
      </c>
      <c r="AK462" s="508">
        <f t="shared" si="173"/>
        <v>50</v>
      </c>
      <c r="AL462" s="116">
        <v>5</v>
      </c>
      <c r="AM462" s="486">
        <f t="shared" si="188"/>
        <v>6.37</v>
      </c>
      <c r="AN462" s="117">
        <f t="shared" si="175"/>
        <v>-1</v>
      </c>
      <c r="AO462" s="487">
        <f t="shared" si="189"/>
        <v>-19</v>
      </c>
      <c r="AP462" s="610"/>
    </row>
    <row r="463" spans="1:42" ht="14.25" customHeight="1">
      <c r="A463" s="701">
        <v>457</v>
      </c>
      <c r="B463" s="477"/>
      <c r="C463" s="477" t="s">
        <v>1536</v>
      </c>
      <c r="D463" s="477" t="s">
        <v>1422</v>
      </c>
      <c r="E463" s="475" t="s">
        <v>1515</v>
      </c>
      <c r="F463" s="477" t="s">
        <v>1537</v>
      </c>
      <c r="G463" s="579" t="s">
        <v>1942</v>
      </c>
      <c r="H463" s="482">
        <v>1</v>
      </c>
      <c r="I463" s="580">
        <v>40743</v>
      </c>
      <c r="J463" s="580">
        <v>40743</v>
      </c>
      <c r="K463" s="581">
        <v>2957.26</v>
      </c>
      <c r="L463" s="581">
        <v>0</v>
      </c>
      <c r="M463" s="582"/>
      <c r="N463" s="582"/>
      <c r="O463" s="582"/>
      <c r="P463" s="582">
        <f t="shared" si="176"/>
        <v>2957.26</v>
      </c>
      <c r="Q463" s="582">
        <f t="shared" si="177"/>
        <v>0</v>
      </c>
      <c r="R463" s="583">
        <f t="shared" si="178"/>
        <v>50</v>
      </c>
      <c r="S463" s="584"/>
      <c r="T463" s="584"/>
      <c r="U463" s="585">
        <f t="shared" si="171"/>
        <v>50</v>
      </c>
      <c r="V463" s="586" t="str">
        <f t="shared" si="179"/>
        <v/>
      </c>
      <c r="W463" s="477"/>
      <c r="X463" s="619">
        <f t="shared" si="174"/>
        <v>3459.99</v>
      </c>
      <c r="Y463" s="618"/>
      <c r="Z463" s="617">
        <v>60</v>
      </c>
      <c r="AA463" s="361">
        <f t="shared" si="180"/>
        <v>51.28</v>
      </c>
      <c r="AB463" s="597"/>
      <c r="AC463" s="485">
        <f t="shared" si="181"/>
        <v>0</v>
      </c>
      <c r="AD463" s="597"/>
      <c r="AE463" s="485">
        <f t="shared" si="182"/>
        <v>0</v>
      </c>
      <c r="AF463" s="508">
        <f t="shared" si="183"/>
        <v>0</v>
      </c>
      <c r="AG463" s="508">
        <f t="shared" si="184"/>
        <v>0</v>
      </c>
      <c r="AH463" s="508">
        <f t="shared" si="185"/>
        <v>60</v>
      </c>
      <c r="AI463" s="508">
        <f t="shared" si="186"/>
        <v>0</v>
      </c>
      <c r="AJ463" s="508">
        <f t="shared" si="187"/>
        <v>8.7200000000000006</v>
      </c>
      <c r="AK463" s="508">
        <f t="shared" si="173"/>
        <v>50</v>
      </c>
      <c r="AL463" s="116">
        <v>5</v>
      </c>
      <c r="AM463" s="486">
        <f t="shared" si="188"/>
        <v>6.37</v>
      </c>
      <c r="AN463" s="117">
        <f t="shared" si="175"/>
        <v>-1</v>
      </c>
      <c r="AO463" s="487">
        <f t="shared" si="189"/>
        <v>-19</v>
      </c>
      <c r="AP463" s="610"/>
    </row>
    <row r="464" spans="1:42" ht="14.25" customHeight="1">
      <c r="A464" s="701">
        <v>458</v>
      </c>
      <c r="B464" s="477"/>
      <c r="C464" s="477" t="s">
        <v>1536</v>
      </c>
      <c r="D464" s="477" t="s">
        <v>1422</v>
      </c>
      <c r="E464" s="475" t="s">
        <v>1515</v>
      </c>
      <c r="F464" s="477" t="s">
        <v>1537</v>
      </c>
      <c r="G464" s="579" t="s">
        <v>1942</v>
      </c>
      <c r="H464" s="482">
        <v>1</v>
      </c>
      <c r="I464" s="580">
        <v>40743</v>
      </c>
      <c r="J464" s="580">
        <v>40743</v>
      </c>
      <c r="K464" s="581">
        <v>2957.26</v>
      </c>
      <c r="L464" s="581">
        <v>0</v>
      </c>
      <c r="M464" s="582"/>
      <c r="N464" s="582"/>
      <c r="O464" s="582"/>
      <c r="P464" s="582">
        <f t="shared" si="176"/>
        <v>2957.26</v>
      </c>
      <c r="Q464" s="582">
        <f t="shared" si="177"/>
        <v>0</v>
      </c>
      <c r="R464" s="583">
        <f t="shared" si="178"/>
        <v>50</v>
      </c>
      <c r="S464" s="584"/>
      <c r="T464" s="584"/>
      <c r="U464" s="585">
        <f t="shared" si="171"/>
        <v>50</v>
      </c>
      <c r="V464" s="586" t="str">
        <f t="shared" si="179"/>
        <v/>
      </c>
      <c r="W464" s="477"/>
      <c r="X464" s="619">
        <f t="shared" si="174"/>
        <v>3459.99</v>
      </c>
      <c r="Y464" s="618"/>
      <c r="Z464" s="617">
        <v>60</v>
      </c>
      <c r="AA464" s="361">
        <f t="shared" si="180"/>
        <v>51.28</v>
      </c>
      <c r="AB464" s="597"/>
      <c r="AC464" s="485">
        <f t="shared" si="181"/>
        <v>0</v>
      </c>
      <c r="AD464" s="597"/>
      <c r="AE464" s="485">
        <f t="shared" si="182"/>
        <v>0</v>
      </c>
      <c r="AF464" s="508">
        <f t="shared" si="183"/>
        <v>0</v>
      </c>
      <c r="AG464" s="508">
        <f t="shared" si="184"/>
        <v>0</v>
      </c>
      <c r="AH464" s="508">
        <f t="shared" si="185"/>
        <v>60</v>
      </c>
      <c r="AI464" s="508">
        <f t="shared" si="186"/>
        <v>0</v>
      </c>
      <c r="AJ464" s="508">
        <f t="shared" si="187"/>
        <v>8.7200000000000006</v>
      </c>
      <c r="AK464" s="508">
        <f t="shared" si="173"/>
        <v>50</v>
      </c>
      <c r="AL464" s="116">
        <v>5</v>
      </c>
      <c r="AM464" s="486">
        <f t="shared" si="188"/>
        <v>6.37</v>
      </c>
      <c r="AN464" s="117">
        <f t="shared" si="175"/>
        <v>-1</v>
      </c>
      <c r="AO464" s="487">
        <f t="shared" si="189"/>
        <v>-19</v>
      </c>
      <c r="AP464" s="610"/>
    </row>
    <row r="465" spans="1:42" ht="14.25" customHeight="1">
      <c r="A465" s="701">
        <v>459</v>
      </c>
      <c r="B465" s="477"/>
      <c r="C465" s="477" t="s">
        <v>1536</v>
      </c>
      <c r="D465" s="477" t="s">
        <v>1422</v>
      </c>
      <c r="E465" s="475" t="s">
        <v>1515</v>
      </c>
      <c r="F465" s="477" t="s">
        <v>1537</v>
      </c>
      <c r="G465" s="579" t="s">
        <v>1942</v>
      </c>
      <c r="H465" s="482">
        <v>1</v>
      </c>
      <c r="I465" s="580">
        <v>40743</v>
      </c>
      <c r="J465" s="580">
        <v>40743</v>
      </c>
      <c r="K465" s="581">
        <v>2957.26</v>
      </c>
      <c r="L465" s="581">
        <v>0</v>
      </c>
      <c r="M465" s="582"/>
      <c r="N465" s="582"/>
      <c r="O465" s="582"/>
      <c r="P465" s="582">
        <f t="shared" si="176"/>
        <v>2957.26</v>
      </c>
      <c r="Q465" s="582">
        <f t="shared" si="177"/>
        <v>0</v>
      </c>
      <c r="R465" s="583">
        <f t="shared" si="178"/>
        <v>50</v>
      </c>
      <c r="S465" s="584"/>
      <c r="T465" s="584"/>
      <c r="U465" s="585">
        <f t="shared" si="171"/>
        <v>50</v>
      </c>
      <c r="V465" s="586" t="str">
        <f t="shared" si="179"/>
        <v/>
      </c>
      <c r="W465" s="477"/>
      <c r="X465" s="619">
        <f t="shared" si="174"/>
        <v>3459.99</v>
      </c>
      <c r="Y465" s="618"/>
      <c r="Z465" s="617">
        <v>60</v>
      </c>
      <c r="AA465" s="361">
        <f t="shared" si="180"/>
        <v>51.28</v>
      </c>
      <c r="AB465" s="597"/>
      <c r="AC465" s="485">
        <f t="shared" si="181"/>
        <v>0</v>
      </c>
      <c r="AD465" s="597"/>
      <c r="AE465" s="485">
        <f t="shared" si="182"/>
        <v>0</v>
      </c>
      <c r="AF465" s="508">
        <f t="shared" si="183"/>
        <v>0</v>
      </c>
      <c r="AG465" s="508">
        <f t="shared" si="184"/>
        <v>0</v>
      </c>
      <c r="AH465" s="508">
        <f t="shared" si="185"/>
        <v>60</v>
      </c>
      <c r="AI465" s="508">
        <f t="shared" si="186"/>
        <v>0</v>
      </c>
      <c r="AJ465" s="508">
        <f t="shared" si="187"/>
        <v>8.7200000000000006</v>
      </c>
      <c r="AK465" s="508">
        <f t="shared" si="173"/>
        <v>50</v>
      </c>
      <c r="AL465" s="116">
        <v>5</v>
      </c>
      <c r="AM465" s="486">
        <f t="shared" si="188"/>
        <v>6.37</v>
      </c>
      <c r="AN465" s="117">
        <f t="shared" si="175"/>
        <v>-1</v>
      </c>
      <c r="AO465" s="487">
        <f t="shared" si="189"/>
        <v>-19</v>
      </c>
      <c r="AP465" s="610"/>
    </row>
    <row r="466" spans="1:42" ht="14.25" customHeight="1">
      <c r="A466" s="701">
        <v>460</v>
      </c>
      <c r="B466" s="477"/>
      <c r="C466" s="477" t="s">
        <v>1536</v>
      </c>
      <c r="D466" s="477" t="s">
        <v>1422</v>
      </c>
      <c r="E466" s="475" t="s">
        <v>1515</v>
      </c>
      <c r="F466" s="477" t="s">
        <v>1537</v>
      </c>
      <c r="G466" s="579" t="s">
        <v>1942</v>
      </c>
      <c r="H466" s="482">
        <v>1</v>
      </c>
      <c r="I466" s="580">
        <v>40743</v>
      </c>
      <c r="J466" s="580">
        <v>40743</v>
      </c>
      <c r="K466" s="581">
        <v>2957.26</v>
      </c>
      <c r="L466" s="581">
        <v>0</v>
      </c>
      <c r="M466" s="582"/>
      <c r="N466" s="582"/>
      <c r="O466" s="582"/>
      <c r="P466" s="582">
        <f t="shared" si="176"/>
        <v>2957.26</v>
      </c>
      <c r="Q466" s="582">
        <f t="shared" si="177"/>
        <v>0</v>
      </c>
      <c r="R466" s="583">
        <f t="shared" si="178"/>
        <v>50</v>
      </c>
      <c r="S466" s="584"/>
      <c r="T466" s="584"/>
      <c r="U466" s="585">
        <f t="shared" si="171"/>
        <v>50</v>
      </c>
      <c r="V466" s="586" t="str">
        <f t="shared" si="179"/>
        <v/>
      </c>
      <c r="W466" s="477"/>
      <c r="X466" s="619">
        <f t="shared" si="174"/>
        <v>3459.99</v>
      </c>
      <c r="Y466" s="618"/>
      <c r="Z466" s="617">
        <v>60</v>
      </c>
      <c r="AA466" s="361">
        <f t="shared" si="180"/>
        <v>51.28</v>
      </c>
      <c r="AB466" s="597"/>
      <c r="AC466" s="485">
        <f t="shared" si="181"/>
        <v>0</v>
      </c>
      <c r="AD466" s="597"/>
      <c r="AE466" s="485">
        <f t="shared" si="182"/>
        <v>0</v>
      </c>
      <c r="AF466" s="508">
        <f t="shared" si="183"/>
        <v>0</v>
      </c>
      <c r="AG466" s="508">
        <f t="shared" si="184"/>
        <v>0</v>
      </c>
      <c r="AH466" s="508">
        <f t="shared" si="185"/>
        <v>60</v>
      </c>
      <c r="AI466" s="508">
        <f t="shared" si="186"/>
        <v>0</v>
      </c>
      <c r="AJ466" s="508">
        <f t="shared" si="187"/>
        <v>8.7200000000000006</v>
      </c>
      <c r="AK466" s="508">
        <f t="shared" si="173"/>
        <v>50</v>
      </c>
      <c r="AL466" s="116">
        <v>5</v>
      </c>
      <c r="AM466" s="486">
        <f t="shared" si="188"/>
        <v>6.37</v>
      </c>
      <c r="AN466" s="117">
        <f t="shared" si="175"/>
        <v>-1</v>
      </c>
      <c r="AO466" s="487">
        <f t="shared" si="189"/>
        <v>-19</v>
      </c>
      <c r="AP466" s="610"/>
    </row>
    <row r="467" spans="1:42" ht="14.25" customHeight="1">
      <c r="A467" s="701">
        <v>461</v>
      </c>
      <c r="B467" s="477"/>
      <c r="C467" s="477" t="s">
        <v>1536</v>
      </c>
      <c r="D467" s="477" t="s">
        <v>1422</v>
      </c>
      <c r="E467" s="475" t="s">
        <v>1515</v>
      </c>
      <c r="F467" s="477" t="s">
        <v>1537</v>
      </c>
      <c r="G467" s="579" t="s">
        <v>1942</v>
      </c>
      <c r="H467" s="482">
        <v>1</v>
      </c>
      <c r="I467" s="580">
        <v>40743</v>
      </c>
      <c r="J467" s="580">
        <v>40743</v>
      </c>
      <c r="K467" s="581">
        <v>2957.26</v>
      </c>
      <c r="L467" s="581">
        <v>0</v>
      </c>
      <c r="M467" s="582"/>
      <c r="N467" s="582"/>
      <c r="O467" s="582"/>
      <c r="P467" s="582">
        <f t="shared" si="176"/>
        <v>2957.26</v>
      </c>
      <c r="Q467" s="582">
        <f t="shared" si="177"/>
        <v>0</v>
      </c>
      <c r="R467" s="583">
        <f t="shared" si="178"/>
        <v>50</v>
      </c>
      <c r="S467" s="584"/>
      <c r="T467" s="584"/>
      <c r="U467" s="585">
        <f t="shared" si="171"/>
        <v>50</v>
      </c>
      <c r="V467" s="586" t="str">
        <f t="shared" si="179"/>
        <v/>
      </c>
      <c r="W467" s="477"/>
      <c r="X467" s="619">
        <f t="shared" si="174"/>
        <v>3459.99</v>
      </c>
      <c r="Y467" s="618"/>
      <c r="Z467" s="617">
        <v>60</v>
      </c>
      <c r="AA467" s="361">
        <f t="shared" si="180"/>
        <v>51.28</v>
      </c>
      <c r="AB467" s="597"/>
      <c r="AC467" s="485">
        <f t="shared" si="181"/>
        <v>0</v>
      </c>
      <c r="AD467" s="597"/>
      <c r="AE467" s="485">
        <f t="shared" si="182"/>
        <v>0</v>
      </c>
      <c r="AF467" s="508">
        <f t="shared" si="183"/>
        <v>0</v>
      </c>
      <c r="AG467" s="508">
        <f t="shared" si="184"/>
        <v>0</v>
      </c>
      <c r="AH467" s="508">
        <f t="shared" si="185"/>
        <v>60</v>
      </c>
      <c r="AI467" s="508">
        <f t="shared" si="186"/>
        <v>0</v>
      </c>
      <c r="AJ467" s="508">
        <f t="shared" si="187"/>
        <v>8.7200000000000006</v>
      </c>
      <c r="AK467" s="508">
        <f t="shared" si="173"/>
        <v>50</v>
      </c>
      <c r="AL467" s="116">
        <v>5</v>
      </c>
      <c r="AM467" s="486">
        <f t="shared" si="188"/>
        <v>6.37</v>
      </c>
      <c r="AN467" s="117">
        <f t="shared" si="175"/>
        <v>-1</v>
      </c>
      <c r="AO467" s="487">
        <f t="shared" si="189"/>
        <v>-19</v>
      </c>
      <c r="AP467" s="610"/>
    </row>
    <row r="468" spans="1:42" ht="14.25" customHeight="1">
      <c r="A468" s="701">
        <v>462</v>
      </c>
      <c r="B468" s="477"/>
      <c r="C468" s="477" t="s">
        <v>1536</v>
      </c>
      <c r="D468" s="477" t="s">
        <v>1423</v>
      </c>
      <c r="E468" s="475" t="s">
        <v>1515</v>
      </c>
      <c r="F468" s="477" t="s">
        <v>1537</v>
      </c>
      <c r="G468" s="579" t="s">
        <v>1942</v>
      </c>
      <c r="H468" s="482">
        <v>1</v>
      </c>
      <c r="I468" s="580">
        <v>40743</v>
      </c>
      <c r="J468" s="580">
        <v>40743</v>
      </c>
      <c r="K468" s="581">
        <v>2957.26</v>
      </c>
      <c r="L468" s="581">
        <v>0</v>
      </c>
      <c r="M468" s="582"/>
      <c r="N468" s="582"/>
      <c r="O468" s="582"/>
      <c r="P468" s="582">
        <f t="shared" si="176"/>
        <v>2957.26</v>
      </c>
      <c r="Q468" s="582">
        <f t="shared" si="177"/>
        <v>0</v>
      </c>
      <c r="R468" s="583">
        <f t="shared" si="178"/>
        <v>50</v>
      </c>
      <c r="S468" s="584"/>
      <c r="T468" s="584"/>
      <c r="U468" s="585">
        <f t="shared" si="171"/>
        <v>50</v>
      </c>
      <c r="V468" s="586" t="str">
        <f t="shared" si="179"/>
        <v/>
      </c>
      <c r="W468" s="477"/>
      <c r="X468" s="619">
        <f t="shared" si="174"/>
        <v>3459.99</v>
      </c>
      <c r="Y468" s="618"/>
      <c r="Z468" s="617">
        <v>60</v>
      </c>
      <c r="AA468" s="361">
        <f t="shared" si="180"/>
        <v>51.28</v>
      </c>
      <c r="AB468" s="597"/>
      <c r="AC468" s="485">
        <f t="shared" si="181"/>
        <v>0</v>
      </c>
      <c r="AD468" s="597"/>
      <c r="AE468" s="485">
        <f t="shared" si="182"/>
        <v>0</v>
      </c>
      <c r="AF468" s="508">
        <f t="shared" si="183"/>
        <v>0</v>
      </c>
      <c r="AG468" s="508">
        <f t="shared" si="184"/>
        <v>0</v>
      </c>
      <c r="AH468" s="508">
        <f t="shared" si="185"/>
        <v>60</v>
      </c>
      <c r="AI468" s="508">
        <f t="shared" si="186"/>
        <v>0</v>
      </c>
      <c r="AJ468" s="508">
        <f t="shared" si="187"/>
        <v>8.7200000000000006</v>
      </c>
      <c r="AK468" s="508">
        <f t="shared" si="173"/>
        <v>50</v>
      </c>
      <c r="AL468" s="116">
        <v>5</v>
      </c>
      <c r="AM468" s="486">
        <f t="shared" si="188"/>
        <v>6.37</v>
      </c>
      <c r="AN468" s="117">
        <f t="shared" si="175"/>
        <v>-1</v>
      </c>
      <c r="AO468" s="487">
        <f t="shared" si="189"/>
        <v>-19</v>
      </c>
      <c r="AP468" s="610"/>
    </row>
    <row r="469" spans="1:42" ht="14.25" customHeight="1">
      <c r="A469" s="701">
        <v>463</v>
      </c>
      <c r="B469" s="477"/>
      <c r="C469" s="477" t="s">
        <v>1536</v>
      </c>
      <c r="D469" s="477" t="s">
        <v>1423</v>
      </c>
      <c r="E469" s="475" t="s">
        <v>1515</v>
      </c>
      <c r="F469" s="477" t="s">
        <v>1537</v>
      </c>
      <c r="G469" s="579" t="s">
        <v>1942</v>
      </c>
      <c r="H469" s="482">
        <v>1</v>
      </c>
      <c r="I469" s="580">
        <v>40743</v>
      </c>
      <c r="J469" s="580">
        <v>40743</v>
      </c>
      <c r="K469" s="581">
        <v>2957.26</v>
      </c>
      <c r="L469" s="581">
        <v>0</v>
      </c>
      <c r="M469" s="582"/>
      <c r="N469" s="582"/>
      <c r="O469" s="582"/>
      <c r="P469" s="582">
        <f t="shared" si="176"/>
        <v>2957.26</v>
      </c>
      <c r="Q469" s="582">
        <f t="shared" si="177"/>
        <v>0</v>
      </c>
      <c r="R469" s="583">
        <f t="shared" si="178"/>
        <v>50</v>
      </c>
      <c r="S469" s="584"/>
      <c r="T469" s="584"/>
      <c r="U469" s="585">
        <f t="shared" si="171"/>
        <v>50</v>
      </c>
      <c r="V469" s="586" t="str">
        <f t="shared" si="179"/>
        <v/>
      </c>
      <c r="W469" s="477"/>
      <c r="X469" s="619">
        <f t="shared" si="174"/>
        <v>3459.99</v>
      </c>
      <c r="Y469" s="618"/>
      <c r="Z469" s="617">
        <v>60</v>
      </c>
      <c r="AA469" s="361">
        <f t="shared" si="180"/>
        <v>51.28</v>
      </c>
      <c r="AB469" s="597"/>
      <c r="AC469" s="485">
        <f t="shared" si="181"/>
        <v>0</v>
      </c>
      <c r="AD469" s="597"/>
      <c r="AE469" s="485">
        <f t="shared" si="182"/>
        <v>0</v>
      </c>
      <c r="AF469" s="508">
        <f t="shared" si="183"/>
        <v>0</v>
      </c>
      <c r="AG469" s="508">
        <f t="shared" si="184"/>
        <v>0</v>
      </c>
      <c r="AH469" s="508">
        <f t="shared" si="185"/>
        <v>60</v>
      </c>
      <c r="AI469" s="508">
        <f t="shared" si="186"/>
        <v>0</v>
      </c>
      <c r="AJ469" s="508">
        <f t="shared" si="187"/>
        <v>8.7200000000000006</v>
      </c>
      <c r="AK469" s="508">
        <f t="shared" si="173"/>
        <v>50</v>
      </c>
      <c r="AL469" s="116">
        <v>5</v>
      </c>
      <c r="AM469" s="486">
        <f t="shared" si="188"/>
        <v>6.37</v>
      </c>
      <c r="AN469" s="117">
        <f t="shared" si="175"/>
        <v>-1</v>
      </c>
      <c r="AO469" s="487">
        <f t="shared" si="189"/>
        <v>-19</v>
      </c>
      <c r="AP469" s="610"/>
    </row>
    <row r="470" spans="1:42" ht="14.25" customHeight="1">
      <c r="A470" s="701">
        <v>464</v>
      </c>
      <c r="B470" s="477"/>
      <c r="C470" s="477" t="s">
        <v>1536</v>
      </c>
      <c r="D470" s="477" t="s">
        <v>1423</v>
      </c>
      <c r="E470" s="475" t="s">
        <v>1515</v>
      </c>
      <c r="F470" s="477" t="s">
        <v>1537</v>
      </c>
      <c r="G470" s="579" t="s">
        <v>1942</v>
      </c>
      <c r="H470" s="482">
        <v>1</v>
      </c>
      <c r="I470" s="580">
        <v>40743</v>
      </c>
      <c r="J470" s="580">
        <v>40743</v>
      </c>
      <c r="K470" s="581">
        <v>2957.26</v>
      </c>
      <c r="L470" s="581">
        <v>0</v>
      </c>
      <c r="M470" s="582"/>
      <c r="N470" s="582"/>
      <c r="O470" s="582"/>
      <c r="P470" s="582">
        <f t="shared" si="176"/>
        <v>2957.26</v>
      </c>
      <c r="Q470" s="582">
        <f t="shared" si="177"/>
        <v>0</v>
      </c>
      <c r="R470" s="583">
        <f t="shared" si="178"/>
        <v>50</v>
      </c>
      <c r="S470" s="584"/>
      <c r="T470" s="584"/>
      <c r="U470" s="585">
        <f t="shared" si="171"/>
        <v>50</v>
      </c>
      <c r="V470" s="586" t="str">
        <f t="shared" si="179"/>
        <v/>
      </c>
      <c r="W470" s="477"/>
      <c r="X470" s="619">
        <f t="shared" si="174"/>
        <v>3459.99</v>
      </c>
      <c r="Y470" s="618"/>
      <c r="Z470" s="617">
        <v>60</v>
      </c>
      <c r="AA470" s="361">
        <f t="shared" si="180"/>
        <v>51.28</v>
      </c>
      <c r="AB470" s="597"/>
      <c r="AC470" s="485">
        <f t="shared" si="181"/>
        <v>0</v>
      </c>
      <c r="AD470" s="597"/>
      <c r="AE470" s="485">
        <f t="shared" si="182"/>
        <v>0</v>
      </c>
      <c r="AF470" s="508">
        <f t="shared" si="183"/>
        <v>0</v>
      </c>
      <c r="AG470" s="508">
        <f t="shared" si="184"/>
        <v>0</v>
      </c>
      <c r="AH470" s="508">
        <f t="shared" si="185"/>
        <v>60</v>
      </c>
      <c r="AI470" s="508">
        <f t="shared" si="186"/>
        <v>0</v>
      </c>
      <c r="AJ470" s="508">
        <f t="shared" si="187"/>
        <v>8.7200000000000006</v>
      </c>
      <c r="AK470" s="508">
        <f t="shared" si="173"/>
        <v>50</v>
      </c>
      <c r="AL470" s="116">
        <v>5</v>
      </c>
      <c r="AM470" s="486">
        <f t="shared" si="188"/>
        <v>6.37</v>
      </c>
      <c r="AN470" s="117">
        <f t="shared" si="175"/>
        <v>-1</v>
      </c>
      <c r="AO470" s="487">
        <f t="shared" si="189"/>
        <v>-19</v>
      </c>
      <c r="AP470" s="610"/>
    </row>
    <row r="471" spans="1:42" ht="14.25" customHeight="1">
      <c r="A471" s="701">
        <v>465</v>
      </c>
      <c r="B471" s="477"/>
      <c r="C471" s="477" t="s">
        <v>1536</v>
      </c>
      <c r="D471" s="477" t="s">
        <v>1423</v>
      </c>
      <c r="E471" s="475" t="s">
        <v>1515</v>
      </c>
      <c r="F471" s="477" t="s">
        <v>1537</v>
      </c>
      <c r="G471" s="579" t="s">
        <v>1942</v>
      </c>
      <c r="H471" s="482">
        <v>1</v>
      </c>
      <c r="I471" s="580">
        <v>40743</v>
      </c>
      <c r="J471" s="580">
        <v>40743</v>
      </c>
      <c r="K471" s="581">
        <v>2957.26</v>
      </c>
      <c r="L471" s="581">
        <v>0</v>
      </c>
      <c r="M471" s="582"/>
      <c r="N471" s="582"/>
      <c r="O471" s="582"/>
      <c r="P471" s="582">
        <f t="shared" si="176"/>
        <v>2957.26</v>
      </c>
      <c r="Q471" s="582">
        <f t="shared" si="177"/>
        <v>0</v>
      </c>
      <c r="R471" s="583">
        <f t="shared" si="178"/>
        <v>50</v>
      </c>
      <c r="S471" s="584"/>
      <c r="T471" s="584"/>
      <c r="U471" s="585">
        <f t="shared" ref="U471:U502" si="190">IF(S471="",R471,ROUND(R471*S471/100,0))</f>
        <v>50</v>
      </c>
      <c r="V471" s="586" t="str">
        <f t="shared" si="179"/>
        <v/>
      </c>
      <c r="W471" s="477"/>
      <c r="X471" s="619">
        <f t="shared" si="174"/>
        <v>3459.99</v>
      </c>
      <c r="Y471" s="618"/>
      <c r="Z471" s="617">
        <v>60</v>
      </c>
      <c r="AA471" s="361">
        <f t="shared" si="180"/>
        <v>51.28</v>
      </c>
      <c r="AB471" s="597"/>
      <c r="AC471" s="485">
        <f t="shared" si="181"/>
        <v>0</v>
      </c>
      <c r="AD471" s="597"/>
      <c r="AE471" s="485">
        <f t="shared" si="182"/>
        <v>0</v>
      </c>
      <c r="AF471" s="508">
        <f t="shared" si="183"/>
        <v>0</v>
      </c>
      <c r="AG471" s="508">
        <f t="shared" si="184"/>
        <v>0</v>
      </c>
      <c r="AH471" s="508">
        <f t="shared" si="185"/>
        <v>60</v>
      </c>
      <c r="AI471" s="508">
        <f t="shared" si="186"/>
        <v>0</v>
      </c>
      <c r="AJ471" s="508">
        <f t="shared" si="187"/>
        <v>8.7200000000000006</v>
      </c>
      <c r="AK471" s="508">
        <f t="shared" si="173"/>
        <v>50</v>
      </c>
      <c r="AL471" s="116">
        <v>5</v>
      </c>
      <c r="AM471" s="486">
        <f t="shared" si="188"/>
        <v>6.37</v>
      </c>
      <c r="AN471" s="117">
        <f t="shared" si="175"/>
        <v>-1</v>
      </c>
      <c r="AO471" s="487">
        <f t="shared" si="189"/>
        <v>-19</v>
      </c>
      <c r="AP471" s="610"/>
    </row>
    <row r="472" spans="1:42" ht="14.25" customHeight="1">
      <c r="A472" s="701">
        <v>466</v>
      </c>
      <c r="B472" s="477"/>
      <c r="C472" s="477" t="s">
        <v>1536</v>
      </c>
      <c r="D472" s="477" t="s">
        <v>1423</v>
      </c>
      <c r="E472" s="475" t="s">
        <v>1515</v>
      </c>
      <c r="F472" s="477" t="s">
        <v>1537</v>
      </c>
      <c r="G472" s="579" t="s">
        <v>1942</v>
      </c>
      <c r="H472" s="482">
        <v>1</v>
      </c>
      <c r="I472" s="580">
        <v>40743</v>
      </c>
      <c r="J472" s="580">
        <v>40743</v>
      </c>
      <c r="K472" s="581">
        <v>2957.26</v>
      </c>
      <c r="L472" s="581">
        <v>0</v>
      </c>
      <c r="M472" s="582"/>
      <c r="N472" s="582"/>
      <c r="O472" s="582"/>
      <c r="P472" s="582">
        <f t="shared" si="176"/>
        <v>2957.26</v>
      </c>
      <c r="Q472" s="582">
        <f t="shared" si="177"/>
        <v>0</v>
      </c>
      <c r="R472" s="583">
        <f t="shared" si="178"/>
        <v>50</v>
      </c>
      <c r="S472" s="584"/>
      <c r="T472" s="584"/>
      <c r="U472" s="585">
        <f t="shared" si="190"/>
        <v>50</v>
      </c>
      <c r="V472" s="586" t="str">
        <f t="shared" si="179"/>
        <v/>
      </c>
      <c r="W472" s="477"/>
      <c r="X472" s="619">
        <f t="shared" si="174"/>
        <v>3459.99</v>
      </c>
      <c r="Y472" s="618"/>
      <c r="Z472" s="617">
        <v>60</v>
      </c>
      <c r="AA472" s="361">
        <f t="shared" si="180"/>
        <v>51.28</v>
      </c>
      <c r="AB472" s="597"/>
      <c r="AC472" s="485">
        <f t="shared" si="181"/>
        <v>0</v>
      </c>
      <c r="AD472" s="597"/>
      <c r="AE472" s="485">
        <f t="shared" si="182"/>
        <v>0</v>
      </c>
      <c r="AF472" s="508">
        <f t="shared" si="183"/>
        <v>0</v>
      </c>
      <c r="AG472" s="508">
        <f t="shared" si="184"/>
        <v>0</v>
      </c>
      <c r="AH472" s="508">
        <f t="shared" si="185"/>
        <v>60</v>
      </c>
      <c r="AI472" s="508">
        <f t="shared" si="186"/>
        <v>0</v>
      </c>
      <c r="AJ472" s="508">
        <f t="shared" si="187"/>
        <v>8.7200000000000006</v>
      </c>
      <c r="AK472" s="508">
        <f t="shared" si="173"/>
        <v>50</v>
      </c>
      <c r="AL472" s="116">
        <v>5</v>
      </c>
      <c r="AM472" s="486">
        <f t="shared" si="188"/>
        <v>6.37</v>
      </c>
      <c r="AN472" s="117">
        <f t="shared" si="175"/>
        <v>-1</v>
      </c>
      <c r="AO472" s="487">
        <f t="shared" si="189"/>
        <v>-19</v>
      </c>
      <c r="AP472" s="610"/>
    </row>
    <row r="473" spans="1:42" ht="14.25" customHeight="1">
      <c r="A473" s="701">
        <v>467</v>
      </c>
      <c r="B473" s="477"/>
      <c r="C473" s="477" t="s">
        <v>1536</v>
      </c>
      <c r="D473" s="477" t="s">
        <v>1422</v>
      </c>
      <c r="E473" s="475" t="s">
        <v>1515</v>
      </c>
      <c r="F473" s="477" t="s">
        <v>1537</v>
      </c>
      <c r="G473" s="579" t="s">
        <v>1942</v>
      </c>
      <c r="H473" s="482">
        <v>1</v>
      </c>
      <c r="I473" s="580">
        <v>40743</v>
      </c>
      <c r="J473" s="580">
        <v>40743</v>
      </c>
      <c r="K473" s="581">
        <v>2957.28</v>
      </c>
      <c r="L473" s="581">
        <v>0</v>
      </c>
      <c r="M473" s="582"/>
      <c r="N473" s="582"/>
      <c r="O473" s="582"/>
      <c r="P473" s="582">
        <f t="shared" si="176"/>
        <v>2957.28</v>
      </c>
      <c r="Q473" s="582">
        <f t="shared" si="177"/>
        <v>0</v>
      </c>
      <c r="R473" s="583">
        <f t="shared" si="178"/>
        <v>50</v>
      </c>
      <c r="S473" s="584"/>
      <c r="T473" s="584"/>
      <c r="U473" s="585">
        <f t="shared" si="190"/>
        <v>50</v>
      </c>
      <c r="V473" s="586" t="str">
        <f t="shared" si="179"/>
        <v/>
      </c>
      <c r="W473" s="477"/>
      <c r="X473" s="619">
        <f t="shared" si="174"/>
        <v>3460.02</v>
      </c>
      <c r="Y473" s="618"/>
      <c r="Z473" s="617">
        <v>60</v>
      </c>
      <c r="AA473" s="361">
        <f t="shared" si="180"/>
        <v>51.28</v>
      </c>
      <c r="AB473" s="597"/>
      <c r="AC473" s="485">
        <f t="shared" si="181"/>
        <v>0</v>
      </c>
      <c r="AD473" s="597"/>
      <c r="AE473" s="485">
        <f t="shared" si="182"/>
        <v>0</v>
      </c>
      <c r="AF473" s="508">
        <f t="shared" si="183"/>
        <v>0</v>
      </c>
      <c r="AG473" s="508">
        <f t="shared" si="184"/>
        <v>0</v>
      </c>
      <c r="AH473" s="508">
        <f t="shared" si="185"/>
        <v>60</v>
      </c>
      <c r="AI473" s="508">
        <f t="shared" si="186"/>
        <v>0</v>
      </c>
      <c r="AJ473" s="508">
        <f t="shared" si="187"/>
        <v>8.7200000000000006</v>
      </c>
      <c r="AK473" s="508">
        <f t="shared" si="173"/>
        <v>50</v>
      </c>
      <c r="AL473" s="116">
        <v>5</v>
      </c>
      <c r="AM473" s="486">
        <f t="shared" si="188"/>
        <v>6.37</v>
      </c>
      <c r="AN473" s="117">
        <f t="shared" si="175"/>
        <v>-1</v>
      </c>
      <c r="AO473" s="487">
        <f t="shared" si="189"/>
        <v>-19</v>
      </c>
      <c r="AP473" s="610"/>
    </row>
    <row r="474" spans="1:42" ht="14.25" customHeight="1">
      <c r="A474" s="701">
        <v>468</v>
      </c>
      <c r="B474" s="477"/>
      <c r="C474" s="477" t="s">
        <v>1536</v>
      </c>
      <c r="D474" s="477" t="s">
        <v>1422</v>
      </c>
      <c r="E474" s="475" t="s">
        <v>1515</v>
      </c>
      <c r="F474" s="477" t="s">
        <v>1537</v>
      </c>
      <c r="G474" s="579" t="s">
        <v>1942</v>
      </c>
      <c r="H474" s="482">
        <v>1</v>
      </c>
      <c r="I474" s="580">
        <v>40743</v>
      </c>
      <c r="J474" s="580">
        <v>40743</v>
      </c>
      <c r="K474" s="581">
        <v>2957.28</v>
      </c>
      <c r="L474" s="581">
        <v>0</v>
      </c>
      <c r="M474" s="582"/>
      <c r="N474" s="582"/>
      <c r="O474" s="582"/>
      <c r="P474" s="582">
        <f t="shared" si="176"/>
        <v>2957.28</v>
      </c>
      <c r="Q474" s="582">
        <f t="shared" si="177"/>
        <v>0</v>
      </c>
      <c r="R474" s="583">
        <f t="shared" si="178"/>
        <v>50</v>
      </c>
      <c r="S474" s="584"/>
      <c r="T474" s="584"/>
      <c r="U474" s="585">
        <f t="shared" si="190"/>
        <v>50</v>
      </c>
      <c r="V474" s="586" t="str">
        <f t="shared" si="179"/>
        <v/>
      </c>
      <c r="W474" s="477"/>
      <c r="X474" s="619">
        <f t="shared" si="174"/>
        <v>3460.02</v>
      </c>
      <c r="Y474" s="618"/>
      <c r="Z474" s="617">
        <v>60</v>
      </c>
      <c r="AA474" s="361">
        <f t="shared" si="180"/>
        <v>51.28</v>
      </c>
      <c r="AB474" s="597"/>
      <c r="AC474" s="485">
        <f t="shared" si="181"/>
        <v>0</v>
      </c>
      <c r="AD474" s="597"/>
      <c r="AE474" s="485">
        <f t="shared" si="182"/>
        <v>0</v>
      </c>
      <c r="AF474" s="508">
        <f t="shared" si="183"/>
        <v>0</v>
      </c>
      <c r="AG474" s="508">
        <f t="shared" si="184"/>
        <v>0</v>
      </c>
      <c r="AH474" s="508">
        <f t="shared" si="185"/>
        <v>60</v>
      </c>
      <c r="AI474" s="508">
        <f t="shared" si="186"/>
        <v>0</v>
      </c>
      <c r="AJ474" s="508">
        <f t="shared" si="187"/>
        <v>8.7200000000000006</v>
      </c>
      <c r="AK474" s="508">
        <f t="shared" si="173"/>
        <v>50</v>
      </c>
      <c r="AL474" s="116">
        <v>5</v>
      </c>
      <c r="AM474" s="486">
        <f t="shared" si="188"/>
        <v>6.37</v>
      </c>
      <c r="AN474" s="117">
        <f t="shared" si="175"/>
        <v>-1</v>
      </c>
      <c r="AO474" s="487">
        <f t="shared" si="189"/>
        <v>-19</v>
      </c>
      <c r="AP474" s="610"/>
    </row>
    <row r="475" spans="1:42" ht="14.25" customHeight="1">
      <c r="A475" s="701">
        <v>469</v>
      </c>
      <c r="B475" s="477"/>
      <c r="C475" s="477" t="s">
        <v>1536</v>
      </c>
      <c r="D475" s="477" t="s">
        <v>1422</v>
      </c>
      <c r="E475" s="475" t="s">
        <v>1515</v>
      </c>
      <c r="F475" s="477" t="s">
        <v>1537</v>
      </c>
      <c r="G475" s="579" t="s">
        <v>1942</v>
      </c>
      <c r="H475" s="482">
        <v>1</v>
      </c>
      <c r="I475" s="580">
        <v>40743</v>
      </c>
      <c r="J475" s="580">
        <v>40743</v>
      </c>
      <c r="K475" s="581">
        <v>2957.28</v>
      </c>
      <c r="L475" s="581">
        <v>0</v>
      </c>
      <c r="M475" s="582"/>
      <c r="N475" s="582"/>
      <c r="O475" s="582"/>
      <c r="P475" s="582">
        <f t="shared" si="176"/>
        <v>2957.28</v>
      </c>
      <c r="Q475" s="582">
        <f t="shared" si="177"/>
        <v>0</v>
      </c>
      <c r="R475" s="583">
        <f t="shared" si="178"/>
        <v>50</v>
      </c>
      <c r="S475" s="584"/>
      <c r="T475" s="584"/>
      <c r="U475" s="585">
        <f t="shared" si="190"/>
        <v>50</v>
      </c>
      <c r="V475" s="586" t="str">
        <f t="shared" si="179"/>
        <v/>
      </c>
      <c r="W475" s="477"/>
      <c r="X475" s="619">
        <f t="shared" si="174"/>
        <v>3460.02</v>
      </c>
      <c r="Y475" s="618"/>
      <c r="Z475" s="617">
        <v>60</v>
      </c>
      <c r="AA475" s="361">
        <f t="shared" si="180"/>
        <v>51.28</v>
      </c>
      <c r="AB475" s="597"/>
      <c r="AC475" s="485">
        <f t="shared" si="181"/>
        <v>0</v>
      </c>
      <c r="AD475" s="597"/>
      <c r="AE475" s="485">
        <f t="shared" si="182"/>
        <v>0</v>
      </c>
      <c r="AF475" s="508">
        <f t="shared" si="183"/>
        <v>0</v>
      </c>
      <c r="AG475" s="508">
        <f t="shared" si="184"/>
        <v>0</v>
      </c>
      <c r="AH475" s="508">
        <f t="shared" si="185"/>
        <v>60</v>
      </c>
      <c r="AI475" s="508">
        <f t="shared" si="186"/>
        <v>0</v>
      </c>
      <c r="AJ475" s="508">
        <f t="shared" si="187"/>
        <v>8.7200000000000006</v>
      </c>
      <c r="AK475" s="508">
        <f t="shared" si="173"/>
        <v>50</v>
      </c>
      <c r="AL475" s="116">
        <v>5</v>
      </c>
      <c r="AM475" s="486">
        <f t="shared" si="188"/>
        <v>6.37</v>
      </c>
      <c r="AN475" s="117">
        <f t="shared" si="175"/>
        <v>-1</v>
      </c>
      <c r="AO475" s="487">
        <f t="shared" si="189"/>
        <v>-19</v>
      </c>
      <c r="AP475" s="610"/>
    </row>
    <row r="476" spans="1:42" ht="14.25" customHeight="1">
      <c r="A476" s="701">
        <v>470</v>
      </c>
      <c r="B476" s="477"/>
      <c r="C476" s="477" t="s">
        <v>1536</v>
      </c>
      <c r="D476" s="477" t="s">
        <v>1422</v>
      </c>
      <c r="E476" s="475" t="s">
        <v>1515</v>
      </c>
      <c r="F476" s="477" t="s">
        <v>1537</v>
      </c>
      <c r="G476" s="579" t="s">
        <v>1942</v>
      </c>
      <c r="H476" s="482">
        <v>1</v>
      </c>
      <c r="I476" s="580">
        <v>40743</v>
      </c>
      <c r="J476" s="580">
        <v>40743</v>
      </c>
      <c r="K476" s="581">
        <v>2957.28</v>
      </c>
      <c r="L476" s="581">
        <v>0</v>
      </c>
      <c r="M476" s="582"/>
      <c r="N476" s="582"/>
      <c r="O476" s="582"/>
      <c r="P476" s="582">
        <f t="shared" si="176"/>
        <v>2957.28</v>
      </c>
      <c r="Q476" s="582">
        <f t="shared" si="177"/>
        <v>0</v>
      </c>
      <c r="R476" s="583">
        <f t="shared" si="178"/>
        <v>50</v>
      </c>
      <c r="S476" s="584"/>
      <c r="T476" s="584"/>
      <c r="U476" s="585">
        <f t="shared" si="190"/>
        <v>50</v>
      </c>
      <c r="V476" s="586" t="str">
        <f t="shared" si="179"/>
        <v/>
      </c>
      <c r="W476" s="477"/>
      <c r="X476" s="619">
        <f t="shared" si="174"/>
        <v>3460.02</v>
      </c>
      <c r="Y476" s="618"/>
      <c r="Z476" s="617">
        <v>60</v>
      </c>
      <c r="AA476" s="361">
        <f t="shared" si="180"/>
        <v>51.28</v>
      </c>
      <c r="AB476" s="597"/>
      <c r="AC476" s="485">
        <f t="shared" si="181"/>
        <v>0</v>
      </c>
      <c r="AD476" s="597"/>
      <c r="AE476" s="485">
        <f t="shared" si="182"/>
        <v>0</v>
      </c>
      <c r="AF476" s="508">
        <f t="shared" si="183"/>
        <v>0</v>
      </c>
      <c r="AG476" s="508">
        <f t="shared" si="184"/>
        <v>0</v>
      </c>
      <c r="AH476" s="508">
        <f t="shared" si="185"/>
        <v>60</v>
      </c>
      <c r="AI476" s="508">
        <f t="shared" si="186"/>
        <v>0</v>
      </c>
      <c r="AJ476" s="508">
        <f t="shared" si="187"/>
        <v>8.7200000000000006</v>
      </c>
      <c r="AK476" s="508">
        <f t="shared" si="173"/>
        <v>50</v>
      </c>
      <c r="AL476" s="116">
        <v>5</v>
      </c>
      <c r="AM476" s="486">
        <f t="shared" si="188"/>
        <v>6.37</v>
      </c>
      <c r="AN476" s="117">
        <f t="shared" si="175"/>
        <v>-1</v>
      </c>
      <c r="AO476" s="487">
        <f t="shared" si="189"/>
        <v>-19</v>
      </c>
      <c r="AP476" s="610"/>
    </row>
    <row r="477" spans="1:42" ht="14.25" customHeight="1">
      <c r="A477" s="701">
        <v>471</v>
      </c>
      <c r="B477" s="477"/>
      <c r="C477" s="477" t="s">
        <v>1536</v>
      </c>
      <c r="D477" s="477" t="s">
        <v>1422</v>
      </c>
      <c r="E477" s="475" t="s">
        <v>1515</v>
      </c>
      <c r="F477" s="477" t="s">
        <v>1537</v>
      </c>
      <c r="G477" s="579" t="s">
        <v>1942</v>
      </c>
      <c r="H477" s="482">
        <v>1</v>
      </c>
      <c r="I477" s="580">
        <v>40743</v>
      </c>
      <c r="J477" s="580">
        <v>40743</v>
      </c>
      <c r="K477" s="581">
        <v>2957.28</v>
      </c>
      <c r="L477" s="581">
        <v>0</v>
      </c>
      <c r="M477" s="582"/>
      <c r="N477" s="582"/>
      <c r="O477" s="582"/>
      <c r="P477" s="582">
        <f t="shared" si="176"/>
        <v>2957.28</v>
      </c>
      <c r="Q477" s="582">
        <f t="shared" si="177"/>
        <v>0</v>
      </c>
      <c r="R477" s="583">
        <f t="shared" si="178"/>
        <v>50</v>
      </c>
      <c r="S477" s="584"/>
      <c r="T477" s="584"/>
      <c r="U477" s="585">
        <f t="shared" si="190"/>
        <v>50</v>
      </c>
      <c r="V477" s="586" t="str">
        <f t="shared" si="179"/>
        <v/>
      </c>
      <c r="W477" s="477"/>
      <c r="X477" s="619">
        <f t="shared" si="174"/>
        <v>3460.02</v>
      </c>
      <c r="Y477" s="618"/>
      <c r="Z477" s="617">
        <v>60</v>
      </c>
      <c r="AA477" s="361">
        <f t="shared" si="180"/>
        <v>51.28</v>
      </c>
      <c r="AB477" s="597"/>
      <c r="AC477" s="485">
        <f t="shared" si="181"/>
        <v>0</v>
      </c>
      <c r="AD477" s="597"/>
      <c r="AE477" s="485">
        <f t="shared" si="182"/>
        <v>0</v>
      </c>
      <c r="AF477" s="508">
        <f t="shared" si="183"/>
        <v>0</v>
      </c>
      <c r="AG477" s="508">
        <f t="shared" si="184"/>
        <v>0</v>
      </c>
      <c r="AH477" s="508">
        <f t="shared" si="185"/>
        <v>60</v>
      </c>
      <c r="AI477" s="508">
        <f t="shared" si="186"/>
        <v>0</v>
      </c>
      <c r="AJ477" s="508">
        <f t="shared" si="187"/>
        <v>8.7200000000000006</v>
      </c>
      <c r="AK477" s="508">
        <f t="shared" si="173"/>
        <v>50</v>
      </c>
      <c r="AL477" s="116">
        <v>5</v>
      </c>
      <c r="AM477" s="486">
        <f t="shared" si="188"/>
        <v>6.37</v>
      </c>
      <c r="AN477" s="117">
        <f t="shared" si="175"/>
        <v>-1</v>
      </c>
      <c r="AO477" s="487">
        <f t="shared" si="189"/>
        <v>-19</v>
      </c>
      <c r="AP477" s="610"/>
    </row>
    <row r="478" spans="1:42" ht="14.25" customHeight="1">
      <c r="A478" s="701">
        <v>472</v>
      </c>
      <c r="B478" s="477"/>
      <c r="C478" s="477" t="s">
        <v>1536</v>
      </c>
      <c r="D478" s="477" t="s">
        <v>1422</v>
      </c>
      <c r="E478" s="475" t="s">
        <v>1515</v>
      </c>
      <c r="F478" s="477" t="s">
        <v>1537</v>
      </c>
      <c r="G478" s="579" t="s">
        <v>1942</v>
      </c>
      <c r="H478" s="482">
        <v>1</v>
      </c>
      <c r="I478" s="580">
        <v>40743</v>
      </c>
      <c r="J478" s="580">
        <v>40743</v>
      </c>
      <c r="K478" s="581">
        <v>2957.28</v>
      </c>
      <c r="L478" s="581">
        <v>0</v>
      </c>
      <c r="M478" s="582"/>
      <c r="N478" s="582"/>
      <c r="O478" s="582"/>
      <c r="P478" s="582">
        <f t="shared" si="176"/>
        <v>2957.28</v>
      </c>
      <c r="Q478" s="582">
        <f t="shared" si="177"/>
        <v>0</v>
      </c>
      <c r="R478" s="583">
        <f t="shared" si="178"/>
        <v>50</v>
      </c>
      <c r="S478" s="584"/>
      <c r="T478" s="584"/>
      <c r="U478" s="585">
        <f t="shared" si="190"/>
        <v>50</v>
      </c>
      <c r="V478" s="586" t="str">
        <f t="shared" si="179"/>
        <v/>
      </c>
      <c r="W478" s="477"/>
      <c r="X478" s="619">
        <f t="shared" si="174"/>
        <v>3460.02</v>
      </c>
      <c r="Y478" s="618"/>
      <c r="Z478" s="617">
        <v>60</v>
      </c>
      <c r="AA478" s="361">
        <f t="shared" si="180"/>
        <v>51.28</v>
      </c>
      <c r="AB478" s="597"/>
      <c r="AC478" s="485">
        <f t="shared" si="181"/>
        <v>0</v>
      </c>
      <c r="AD478" s="597"/>
      <c r="AE478" s="485">
        <f t="shared" si="182"/>
        <v>0</v>
      </c>
      <c r="AF478" s="508">
        <f t="shared" si="183"/>
        <v>0</v>
      </c>
      <c r="AG478" s="508">
        <f t="shared" si="184"/>
        <v>0</v>
      </c>
      <c r="AH478" s="508">
        <f t="shared" si="185"/>
        <v>60</v>
      </c>
      <c r="AI478" s="508">
        <f t="shared" si="186"/>
        <v>0</v>
      </c>
      <c r="AJ478" s="508">
        <f t="shared" si="187"/>
        <v>8.7200000000000006</v>
      </c>
      <c r="AK478" s="508">
        <f t="shared" si="173"/>
        <v>50</v>
      </c>
      <c r="AL478" s="116">
        <v>5</v>
      </c>
      <c r="AM478" s="486">
        <f t="shared" si="188"/>
        <v>6.37</v>
      </c>
      <c r="AN478" s="117">
        <f t="shared" si="175"/>
        <v>-1</v>
      </c>
      <c r="AO478" s="487">
        <f t="shared" si="189"/>
        <v>-19</v>
      </c>
      <c r="AP478" s="610"/>
    </row>
    <row r="479" spans="1:42" ht="14.25" customHeight="1">
      <c r="A479" s="701">
        <v>473</v>
      </c>
      <c r="B479" s="477"/>
      <c r="C479" s="477" t="s">
        <v>1536</v>
      </c>
      <c r="D479" s="477" t="s">
        <v>1422</v>
      </c>
      <c r="E479" s="475" t="s">
        <v>1515</v>
      </c>
      <c r="F479" s="477" t="s">
        <v>1537</v>
      </c>
      <c r="G479" s="579" t="s">
        <v>1942</v>
      </c>
      <c r="H479" s="482">
        <v>1</v>
      </c>
      <c r="I479" s="580">
        <v>40743</v>
      </c>
      <c r="J479" s="580">
        <v>40743</v>
      </c>
      <c r="K479" s="581">
        <v>2957.28</v>
      </c>
      <c r="L479" s="581">
        <v>0</v>
      </c>
      <c r="M479" s="582"/>
      <c r="N479" s="582"/>
      <c r="O479" s="582"/>
      <c r="P479" s="582">
        <f t="shared" si="176"/>
        <v>2957.28</v>
      </c>
      <c r="Q479" s="582">
        <f t="shared" si="177"/>
        <v>0</v>
      </c>
      <c r="R479" s="583">
        <f t="shared" si="178"/>
        <v>50</v>
      </c>
      <c r="S479" s="584"/>
      <c r="T479" s="584"/>
      <c r="U479" s="585">
        <f t="shared" si="190"/>
        <v>50</v>
      </c>
      <c r="V479" s="586" t="str">
        <f t="shared" si="179"/>
        <v/>
      </c>
      <c r="W479" s="477"/>
      <c r="X479" s="619">
        <f t="shared" si="174"/>
        <v>3460.02</v>
      </c>
      <c r="Y479" s="618"/>
      <c r="Z479" s="617">
        <v>60</v>
      </c>
      <c r="AA479" s="361">
        <f t="shared" si="180"/>
        <v>51.28</v>
      </c>
      <c r="AB479" s="597"/>
      <c r="AC479" s="485">
        <f t="shared" si="181"/>
        <v>0</v>
      </c>
      <c r="AD479" s="597"/>
      <c r="AE479" s="485">
        <f t="shared" si="182"/>
        <v>0</v>
      </c>
      <c r="AF479" s="508">
        <f t="shared" si="183"/>
        <v>0</v>
      </c>
      <c r="AG479" s="508">
        <f t="shared" si="184"/>
        <v>0</v>
      </c>
      <c r="AH479" s="508">
        <f t="shared" si="185"/>
        <v>60</v>
      </c>
      <c r="AI479" s="508">
        <f t="shared" si="186"/>
        <v>0</v>
      </c>
      <c r="AJ479" s="508">
        <f t="shared" si="187"/>
        <v>8.7200000000000006</v>
      </c>
      <c r="AK479" s="508">
        <f t="shared" si="173"/>
        <v>50</v>
      </c>
      <c r="AL479" s="116">
        <v>5</v>
      </c>
      <c r="AM479" s="486">
        <f t="shared" si="188"/>
        <v>6.37</v>
      </c>
      <c r="AN479" s="117">
        <f t="shared" si="175"/>
        <v>-1</v>
      </c>
      <c r="AO479" s="487">
        <f t="shared" si="189"/>
        <v>-19</v>
      </c>
      <c r="AP479" s="610"/>
    </row>
    <row r="480" spans="1:42" ht="14.25" customHeight="1">
      <c r="A480" s="701">
        <v>474</v>
      </c>
      <c r="B480" s="477"/>
      <c r="C480" s="477" t="s">
        <v>1536</v>
      </c>
      <c r="D480" s="477" t="s">
        <v>1422</v>
      </c>
      <c r="E480" s="475" t="s">
        <v>1515</v>
      </c>
      <c r="F480" s="477" t="s">
        <v>1537</v>
      </c>
      <c r="G480" s="579" t="s">
        <v>1942</v>
      </c>
      <c r="H480" s="482">
        <v>1</v>
      </c>
      <c r="I480" s="580">
        <v>40743</v>
      </c>
      <c r="J480" s="580">
        <v>40743</v>
      </c>
      <c r="K480" s="581">
        <v>2957.27</v>
      </c>
      <c r="L480" s="581">
        <v>0</v>
      </c>
      <c r="M480" s="582"/>
      <c r="N480" s="582"/>
      <c r="O480" s="582"/>
      <c r="P480" s="582">
        <f t="shared" si="176"/>
        <v>2957.27</v>
      </c>
      <c r="Q480" s="582">
        <f t="shared" si="177"/>
        <v>0</v>
      </c>
      <c r="R480" s="583">
        <f t="shared" si="178"/>
        <v>50</v>
      </c>
      <c r="S480" s="584"/>
      <c r="T480" s="584"/>
      <c r="U480" s="585">
        <f t="shared" si="190"/>
        <v>50</v>
      </c>
      <c r="V480" s="586" t="str">
        <f t="shared" si="179"/>
        <v/>
      </c>
      <c r="W480" s="477"/>
      <c r="X480" s="619">
        <f t="shared" si="174"/>
        <v>3460.01</v>
      </c>
      <c r="Y480" s="618"/>
      <c r="Z480" s="617">
        <v>60</v>
      </c>
      <c r="AA480" s="361">
        <f t="shared" si="180"/>
        <v>51.28</v>
      </c>
      <c r="AB480" s="597"/>
      <c r="AC480" s="485">
        <f t="shared" si="181"/>
        <v>0</v>
      </c>
      <c r="AD480" s="597"/>
      <c r="AE480" s="485">
        <f t="shared" si="182"/>
        <v>0</v>
      </c>
      <c r="AF480" s="508">
        <f t="shared" si="183"/>
        <v>0</v>
      </c>
      <c r="AG480" s="508">
        <f t="shared" si="184"/>
        <v>0</v>
      </c>
      <c r="AH480" s="508">
        <f t="shared" si="185"/>
        <v>60</v>
      </c>
      <c r="AI480" s="508">
        <f t="shared" si="186"/>
        <v>0</v>
      </c>
      <c r="AJ480" s="508">
        <f t="shared" si="187"/>
        <v>8.7200000000000006</v>
      </c>
      <c r="AK480" s="508">
        <f t="shared" si="173"/>
        <v>50</v>
      </c>
      <c r="AL480" s="116">
        <v>5</v>
      </c>
      <c r="AM480" s="486">
        <f t="shared" si="188"/>
        <v>6.37</v>
      </c>
      <c r="AN480" s="117">
        <f t="shared" si="175"/>
        <v>-1</v>
      </c>
      <c r="AO480" s="487">
        <f t="shared" si="189"/>
        <v>-19</v>
      </c>
      <c r="AP480" s="610"/>
    </row>
    <row r="481" spans="1:42" ht="14.25" customHeight="1">
      <c r="A481" s="701">
        <v>475</v>
      </c>
      <c r="B481" s="477"/>
      <c r="C481" s="477" t="s">
        <v>1536</v>
      </c>
      <c r="D481" s="477" t="s">
        <v>1422</v>
      </c>
      <c r="E481" s="475" t="s">
        <v>1515</v>
      </c>
      <c r="F481" s="477" t="s">
        <v>1537</v>
      </c>
      <c r="G481" s="579" t="s">
        <v>1942</v>
      </c>
      <c r="H481" s="482">
        <v>1</v>
      </c>
      <c r="I481" s="580">
        <v>40743</v>
      </c>
      <c r="J481" s="580">
        <v>40743</v>
      </c>
      <c r="K481" s="581">
        <v>2957.27</v>
      </c>
      <c r="L481" s="581">
        <v>0</v>
      </c>
      <c r="M481" s="582"/>
      <c r="N481" s="582"/>
      <c r="O481" s="582"/>
      <c r="P481" s="582">
        <f t="shared" si="176"/>
        <v>2957.27</v>
      </c>
      <c r="Q481" s="582">
        <f t="shared" si="177"/>
        <v>0</v>
      </c>
      <c r="R481" s="583">
        <f t="shared" si="178"/>
        <v>50</v>
      </c>
      <c r="S481" s="584"/>
      <c r="T481" s="584"/>
      <c r="U481" s="585">
        <f t="shared" si="190"/>
        <v>50</v>
      </c>
      <c r="V481" s="586" t="str">
        <f t="shared" si="179"/>
        <v/>
      </c>
      <c r="W481" s="477"/>
      <c r="X481" s="619">
        <f t="shared" si="174"/>
        <v>3460.01</v>
      </c>
      <c r="Y481" s="618"/>
      <c r="Z481" s="617">
        <v>60</v>
      </c>
      <c r="AA481" s="361">
        <f t="shared" si="180"/>
        <v>51.28</v>
      </c>
      <c r="AB481" s="597"/>
      <c r="AC481" s="485">
        <f t="shared" si="181"/>
        <v>0</v>
      </c>
      <c r="AD481" s="597"/>
      <c r="AE481" s="485">
        <f t="shared" si="182"/>
        <v>0</v>
      </c>
      <c r="AF481" s="508">
        <f t="shared" si="183"/>
        <v>0</v>
      </c>
      <c r="AG481" s="508">
        <f t="shared" si="184"/>
        <v>0</v>
      </c>
      <c r="AH481" s="508">
        <f t="shared" si="185"/>
        <v>60</v>
      </c>
      <c r="AI481" s="508">
        <f t="shared" si="186"/>
        <v>0</v>
      </c>
      <c r="AJ481" s="508">
        <f t="shared" si="187"/>
        <v>8.7200000000000006</v>
      </c>
      <c r="AK481" s="508">
        <f t="shared" ref="AK481:AK502" si="191">ROUND((Z481+AC481+AE481+AF481+AI481-AJ481)*H481,-1)</f>
        <v>50</v>
      </c>
      <c r="AL481" s="116">
        <v>5</v>
      </c>
      <c r="AM481" s="486">
        <f t="shared" si="188"/>
        <v>6.37</v>
      </c>
      <c r="AN481" s="117">
        <f t="shared" si="175"/>
        <v>-1</v>
      </c>
      <c r="AO481" s="487">
        <f t="shared" si="189"/>
        <v>-19</v>
      </c>
      <c r="AP481" s="610"/>
    </row>
    <row r="482" spans="1:42" ht="14.25" customHeight="1">
      <c r="A482" s="701">
        <v>476</v>
      </c>
      <c r="B482" s="477"/>
      <c r="C482" s="477" t="s">
        <v>1536</v>
      </c>
      <c r="D482" s="477" t="s">
        <v>1422</v>
      </c>
      <c r="E482" s="475" t="s">
        <v>1515</v>
      </c>
      <c r="F482" s="477" t="s">
        <v>1537</v>
      </c>
      <c r="G482" s="579" t="s">
        <v>1942</v>
      </c>
      <c r="H482" s="482">
        <v>1</v>
      </c>
      <c r="I482" s="580">
        <v>40743</v>
      </c>
      <c r="J482" s="580">
        <v>40743</v>
      </c>
      <c r="K482" s="581">
        <v>2957.27</v>
      </c>
      <c r="L482" s="581">
        <v>0</v>
      </c>
      <c r="M482" s="582"/>
      <c r="N482" s="582"/>
      <c r="O482" s="582"/>
      <c r="P482" s="582">
        <f t="shared" si="176"/>
        <v>2957.27</v>
      </c>
      <c r="Q482" s="582">
        <f t="shared" si="177"/>
        <v>0</v>
      </c>
      <c r="R482" s="583">
        <f t="shared" si="178"/>
        <v>50</v>
      </c>
      <c r="S482" s="584"/>
      <c r="T482" s="584"/>
      <c r="U482" s="585">
        <f t="shared" si="190"/>
        <v>50</v>
      </c>
      <c r="V482" s="586" t="str">
        <f t="shared" si="179"/>
        <v/>
      </c>
      <c r="W482" s="477"/>
      <c r="X482" s="619">
        <f t="shared" si="174"/>
        <v>3460.01</v>
      </c>
      <c r="Y482" s="618"/>
      <c r="Z482" s="617">
        <v>60</v>
      </c>
      <c r="AA482" s="361">
        <f t="shared" si="180"/>
        <v>51.28</v>
      </c>
      <c r="AB482" s="597"/>
      <c r="AC482" s="485">
        <f t="shared" si="181"/>
        <v>0</v>
      </c>
      <c r="AD482" s="597"/>
      <c r="AE482" s="485">
        <f t="shared" si="182"/>
        <v>0</v>
      </c>
      <c r="AF482" s="508">
        <f t="shared" si="183"/>
        <v>0</v>
      </c>
      <c r="AG482" s="508">
        <f t="shared" si="184"/>
        <v>0</v>
      </c>
      <c r="AH482" s="508">
        <f t="shared" si="185"/>
        <v>60</v>
      </c>
      <c r="AI482" s="508">
        <f t="shared" si="186"/>
        <v>0</v>
      </c>
      <c r="AJ482" s="508">
        <f t="shared" si="187"/>
        <v>8.7200000000000006</v>
      </c>
      <c r="AK482" s="508">
        <f t="shared" si="191"/>
        <v>50</v>
      </c>
      <c r="AL482" s="116">
        <v>5</v>
      </c>
      <c r="AM482" s="486">
        <f t="shared" si="188"/>
        <v>6.37</v>
      </c>
      <c r="AN482" s="117">
        <f t="shared" si="175"/>
        <v>-1</v>
      </c>
      <c r="AO482" s="487">
        <f t="shared" si="189"/>
        <v>-19</v>
      </c>
      <c r="AP482" s="610"/>
    </row>
    <row r="483" spans="1:42" ht="14.25" customHeight="1">
      <c r="A483" s="701">
        <v>477</v>
      </c>
      <c r="B483" s="477"/>
      <c r="C483" s="477" t="s">
        <v>1536</v>
      </c>
      <c r="D483" s="477" t="s">
        <v>1423</v>
      </c>
      <c r="E483" s="475" t="s">
        <v>1515</v>
      </c>
      <c r="F483" s="477" t="s">
        <v>1537</v>
      </c>
      <c r="G483" s="579" t="s">
        <v>1942</v>
      </c>
      <c r="H483" s="482">
        <v>1</v>
      </c>
      <c r="I483" s="580">
        <v>40743</v>
      </c>
      <c r="J483" s="580">
        <v>40743</v>
      </c>
      <c r="K483" s="581">
        <v>2957.27</v>
      </c>
      <c r="L483" s="581">
        <v>0</v>
      </c>
      <c r="M483" s="582"/>
      <c r="N483" s="582"/>
      <c r="O483" s="582"/>
      <c r="P483" s="582">
        <f t="shared" si="176"/>
        <v>2957.27</v>
      </c>
      <c r="Q483" s="582">
        <f t="shared" si="177"/>
        <v>0</v>
      </c>
      <c r="R483" s="583">
        <f t="shared" si="178"/>
        <v>50</v>
      </c>
      <c r="S483" s="584"/>
      <c r="T483" s="584"/>
      <c r="U483" s="585">
        <f t="shared" si="190"/>
        <v>50</v>
      </c>
      <c r="V483" s="586" t="str">
        <f t="shared" si="179"/>
        <v/>
      </c>
      <c r="W483" s="477"/>
      <c r="X483" s="619">
        <f t="shared" si="174"/>
        <v>3460.01</v>
      </c>
      <c r="Y483" s="618"/>
      <c r="Z483" s="617">
        <v>60</v>
      </c>
      <c r="AA483" s="361">
        <f t="shared" si="180"/>
        <v>51.28</v>
      </c>
      <c r="AB483" s="597"/>
      <c r="AC483" s="485">
        <f t="shared" si="181"/>
        <v>0</v>
      </c>
      <c r="AD483" s="597"/>
      <c r="AE483" s="485">
        <f t="shared" si="182"/>
        <v>0</v>
      </c>
      <c r="AF483" s="508">
        <f t="shared" si="183"/>
        <v>0</v>
      </c>
      <c r="AG483" s="508">
        <f t="shared" si="184"/>
        <v>0</v>
      </c>
      <c r="AH483" s="508">
        <f t="shared" si="185"/>
        <v>60</v>
      </c>
      <c r="AI483" s="508">
        <f t="shared" si="186"/>
        <v>0</v>
      </c>
      <c r="AJ483" s="508">
        <f t="shared" si="187"/>
        <v>8.7200000000000006</v>
      </c>
      <c r="AK483" s="508">
        <f t="shared" si="191"/>
        <v>50</v>
      </c>
      <c r="AL483" s="116">
        <v>5</v>
      </c>
      <c r="AM483" s="486">
        <f t="shared" si="188"/>
        <v>6.37</v>
      </c>
      <c r="AN483" s="117">
        <f t="shared" si="175"/>
        <v>-1</v>
      </c>
      <c r="AO483" s="487">
        <f t="shared" si="189"/>
        <v>-19</v>
      </c>
      <c r="AP483" s="610"/>
    </row>
    <row r="484" spans="1:42" ht="14.25" customHeight="1">
      <c r="A484" s="701">
        <v>478</v>
      </c>
      <c r="B484" s="477"/>
      <c r="C484" s="477" t="s">
        <v>1536</v>
      </c>
      <c r="D484" s="477" t="s">
        <v>1423</v>
      </c>
      <c r="E484" s="475" t="s">
        <v>1515</v>
      </c>
      <c r="F484" s="477" t="s">
        <v>1537</v>
      </c>
      <c r="G484" s="579" t="s">
        <v>1942</v>
      </c>
      <c r="H484" s="482">
        <v>1</v>
      </c>
      <c r="I484" s="580">
        <v>40743</v>
      </c>
      <c r="J484" s="580">
        <v>40743</v>
      </c>
      <c r="K484" s="581">
        <v>2957.27</v>
      </c>
      <c r="L484" s="581">
        <v>0</v>
      </c>
      <c r="M484" s="582"/>
      <c r="N484" s="582"/>
      <c r="O484" s="582"/>
      <c r="P484" s="582">
        <f t="shared" si="176"/>
        <v>2957.27</v>
      </c>
      <c r="Q484" s="582">
        <f t="shared" si="177"/>
        <v>0</v>
      </c>
      <c r="R484" s="583">
        <f t="shared" si="178"/>
        <v>50</v>
      </c>
      <c r="S484" s="584"/>
      <c r="T484" s="584"/>
      <c r="U484" s="585">
        <f t="shared" si="190"/>
        <v>50</v>
      </c>
      <c r="V484" s="586" t="str">
        <f t="shared" si="179"/>
        <v/>
      </c>
      <c r="W484" s="477"/>
      <c r="X484" s="619">
        <f t="shared" si="174"/>
        <v>3460.01</v>
      </c>
      <c r="Y484" s="618"/>
      <c r="Z484" s="617">
        <v>60</v>
      </c>
      <c r="AA484" s="361">
        <f t="shared" si="180"/>
        <v>51.28</v>
      </c>
      <c r="AB484" s="597"/>
      <c r="AC484" s="485">
        <f t="shared" si="181"/>
        <v>0</v>
      </c>
      <c r="AD484" s="597"/>
      <c r="AE484" s="485">
        <f t="shared" si="182"/>
        <v>0</v>
      </c>
      <c r="AF484" s="508">
        <f t="shared" si="183"/>
        <v>0</v>
      </c>
      <c r="AG484" s="508">
        <f t="shared" si="184"/>
        <v>0</v>
      </c>
      <c r="AH484" s="508">
        <f t="shared" si="185"/>
        <v>60</v>
      </c>
      <c r="AI484" s="508">
        <f t="shared" si="186"/>
        <v>0</v>
      </c>
      <c r="AJ484" s="508">
        <f t="shared" si="187"/>
        <v>8.7200000000000006</v>
      </c>
      <c r="AK484" s="508">
        <f t="shared" si="191"/>
        <v>50</v>
      </c>
      <c r="AL484" s="116">
        <v>5</v>
      </c>
      <c r="AM484" s="486">
        <f t="shared" si="188"/>
        <v>6.37</v>
      </c>
      <c r="AN484" s="117">
        <f t="shared" ref="AN484:AN506" si="192">ROUND((AL484-AM484),0)</f>
        <v>-1</v>
      </c>
      <c r="AO484" s="487">
        <f t="shared" si="189"/>
        <v>-19</v>
      </c>
      <c r="AP484" s="610"/>
    </row>
    <row r="485" spans="1:42" ht="14.25" customHeight="1">
      <c r="A485" s="701">
        <v>479</v>
      </c>
      <c r="B485" s="477"/>
      <c r="C485" s="477" t="s">
        <v>1536</v>
      </c>
      <c r="D485" s="477" t="s">
        <v>1423</v>
      </c>
      <c r="E485" s="475" t="s">
        <v>1515</v>
      </c>
      <c r="F485" s="477" t="s">
        <v>1537</v>
      </c>
      <c r="G485" s="579" t="s">
        <v>1942</v>
      </c>
      <c r="H485" s="482">
        <v>1</v>
      </c>
      <c r="I485" s="580">
        <v>40743</v>
      </c>
      <c r="J485" s="580">
        <v>40743</v>
      </c>
      <c r="K485" s="581">
        <v>2957.27</v>
      </c>
      <c r="L485" s="581">
        <v>0</v>
      </c>
      <c r="M485" s="582"/>
      <c r="N485" s="582"/>
      <c r="O485" s="582"/>
      <c r="P485" s="582">
        <f t="shared" si="176"/>
        <v>2957.27</v>
      </c>
      <c r="Q485" s="582">
        <f t="shared" si="177"/>
        <v>0</v>
      </c>
      <c r="R485" s="583">
        <f t="shared" si="178"/>
        <v>50</v>
      </c>
      <c r="S485" s="584"/>
      <c r="T485" s="584"/>
      <c r="U485" s="585">
        <f t="shared" si="190"/>
        <v>50</v>
      </c>
      <c r="V485" s="586" t="str">
        <f t="shared" si="179"/>
        <v/>
      </c>
      <c r="W485" s="477"/>
      <c r="X485" s="619">
        <f t="shared" si="174"/>
        <v>3460.01</v>
      </c>
      <c r="Y485" s="618"/>
      <c r="Z485" s="617">
        <v>60</v>
      </c>
      <c r="AA485" s="361">
        <f t="shared" si="180"/>
        <v>51.28</v>
      </c>
      <c r="AB485" s="597"/>
      <c r="AC485" s="485">
        <f t="shared" si="181"/>
        <v>0</v>
      </c>
      <c r="AD485" s="597"/>
      <c r="AE485" s="485">
        <f t="shared" si="182"/>
        <v>0</v>
      </c>
      <c r="AF485" s="508">
        <f t="shared" si="183"/>
        <v>0</v>
      </c>
      <c r="AG485" s="508">
        <f t="shared" si="184"/>
        <v>0</v>
      </c>
      <c r="AH485" s="508">
        <f t="shared" si="185"/>
        <v>60</v>
      </c>
      <c r="AI485" s="508">
        <f t="shared" si="186"/>
        <v>0</v>
      </c>
      <c r="AJ485" s="508">
        <f t="shared" si="187"/>
        <v>8.7200000000000006</v>
      </c>
      <c r="AK485" s="508">
        <f t="shared" si="191"/>
        <v>50</v>
      </c>
      <c r="AL485" s="116">
        <v>5</v>
      </c>
      <c r="AM485" s="486">
        <f t="shared" si="188"/>
        <v>6.37</v>
      </c>
      <c r="AN485" s="117">
        <f t="shared" si="192"/>
        <v>-1</v>
      </c>
      <c r="AO485" s="487">
        <f t="shared" si="189"/>
        <v>-19</v>
      </c>
      <c r="AP485" s="610"/>
    </row>
    <row r="486" spans="1:42" ht="14.25" customHeight="1">
      <c r="A486" s="701">
        <v>480</v>
      </c>
      <c r="B486" s="477"/>
      <c r="C486" s="477" t="s">
        <v>1536</v>
      </c>
      <c r="D486" s="477" t="s">
        <v>1423</v>
      </c>
      <c r="E486" s="475" t="s">
        <v>1515</v>
      </c>
      <c r="F486" s="477" t="s">
        <v>1537</v>
      </c>
      <c r="G486" s="579" t="s">
        <v>1942</v>
      </c>
      <c r="H486" s="482">
        <v>1</v>
      </c>
      <c r="I486" s="580">
        <v>40743</v>
      </c>
      <c r="J486" s="580">
        <v>40743</v>
      </c>
      <c r="K486" s="581">
        <v>2957.27</v>
      </c>
      <c r="L486" s="581">
        <v>0</v>
      </c>
      <c r="M486" s="582"/>
      <c r="N486" s="582"/>
      <c r="O486" s="582"/>
      <c r="P486" s="582">
        <f t="shared" si="176"/>
        <v>2957.27</v>
      </c>
      <c r="Q486" s="582">
        <f t="shared" si="177"/>
        <v>0</v>
      </c>
      <c r="R486" s="583">
        <f t="shared" si="178"/>
        <v>50</v>
      </c>
      <c r="S486" s="584"/>
      <c r="T486" s="584"/>
      <c r="U486" s="585">
        <f t="shared" si="190"/>
        <v>50</v>
      </c>
      <c r="V486" s="586" t="str">
        <f t="shared" si="179"/>
        <v/>
      </c>
      <c r="W486" s="477"/>
      <c r="X486" s="619">
        <f t="shared" si="174"/>
        <v>3460.01</v>
      </c>
      <c r="Y486" s="618"/>
      <c r="Z486" s="617">
        <v>60</v>
      </c>
      <c r="AA486" s="361">
        <f t="shared" si="180"/>
        <v>51.28</v>
      </c>
      <c r="AB486" s="597"/>
      <c r="AC486" s="485">
        <f t="shared" si="181"/>
        <v>0</v>
      </c>
      <c r="AD486" s="597"/>
      <c r="AE486" s="485">
        <f t="shared" si="182"/>
        <v>0</v>
      </c>
      <c r="AF486" s="508">
        <f t="shared" si="183"/>
        <v>0</v>
      </c>
      <c r="AG486" s="508">
        <f t="shared" si="184"/>
        <v>0</v>
      </c>
      <c r="AH486" s="508">
        <f t="shared" si="185"/>
        <v>60</v>
      </c>
      <c r="AI486" s="508">
        <f t="shared" si="186"/>
        <v>0</v>
      </c>
      <c r="AJ486" s="508">
        <f t="shared" si="187"/>
        <v>8.7200000000000006</v>
      </c>
      <c r="AK486" s="508">
        <f t="shared" si="191"/>
        <v>50</v>
      </c>
      <c r="AL486" s="116">
        <v>5</v>
      </c>
      <c r="AM486" s="486">
        <f t="shared" si="188"/>
        <v>6.37</v>
      </c>
      <c r="AN486" s="117">
        <f t="shared" si="192"/>
        <v>-1</v>
      </c>
      <c r="AO486" s="487">
        <f t="shared" si="189"/>
        <v>-19</v>
      </c>
      <c r="AP486" s="610"/>
    </row>
    <row r="487" spans="1:42" ht="14.25" customHeight="1">
      <c r="A487" s="701">
        <v>481</v>
      </c>
      <c r="B487" s="477"/>
      <c r="C487" s="477" t="s">
        <v>1536</v>
      </c>
      <c r="D487" s="477" t="s">
        <v>1423</v>
      </c>
      <c r="E487" s="475" t="s">
        <v>1515</v>
      </c>
      <c r="F487" s="477" t="s">
        <v>1537</v>
      </c>
      <c r="G487" s="579" t="s">
        <v>1942</v>
      </c>
      <c r="H487" s="482">
        <v>1</v>
      </c>
      <c r="I487" s="580">
        <v>40743</v>
      </c>
      <c r="J487" s="580">
        <v>40743</v>
      </c>
      <c r="K487" s="581">
        <v>2957.27</v>
      </c>
      <c r="L487" s="581">
        <v>0</v>
      </c>
      <c r="M487" s="582"/>
      <c r="N487" s="582"/>
      <c r="O487" s="582"/>
      <c r="P487" s="582">
        <f t="shared" si="176"/>
        <v>2957.27</v>
      </c>
      <c r="Q487" s="582">
        <f t="shared" si="177"/>
        <v>0</v>
      </c>
      <c r="R487" s="583">
        <f t="shared" si="178"/>
        <v>50</v>
      </c>
      <c r="S487" s="584"/>
      <c r="T487" s="584"/>
      <c r="U487" s="585">
        <f t="shared" si="190"/>
        <v>50</v>
      </c>
      <c r="V487" s="586" t="str">
        <f t="shared" si="179"/>
        <v/>
      </c>
      <c r="W487" s="477"/>
      <c r="X487" s="619">
        <f t="shared" si="174"/>
        <v>3460.01</v>
      </c>
      <c r="Y487" s="618"/>
      <c r="Z487" s="617">
        <v>60</v>
      </c>
      <c r="AA487" s="361">
        <f t="shared" si="180"/>
        <v>51.28</v>
      </c>
      <c r="AB487" s="597"/>
      <c r="AC487" s="485">
        <f t="shared" si="181"/>
        <v>0</v>
      </c>
      <c r="AD487" s="597"/>
      <c r="AE487" s="485">
        <f t="shared" si="182"/>
        <v>0</v>
      </c>
      <c r="AF487" s="508">
        <f t="shared" si="183"/>
        <v>0</v>
      </c>
      <c r="AG487" s="508">
        <f t="shared" si="184"/>
        <v>0</v>
      </c>
      <c r="AH487" s="508">
        <f t="shared" si="185"/>
        <v>60</v>
      </c>
      <c r="AI487" s="508">
        <f t="shared" si="186"/>
        <v>0</v>
      </c>
      <c r="AJ487" s="508">
        <f t="shared" si="187"/>
        <v>8.7200000000000006</v>
      </c>
      <c r="AK487" s="508">
        <f t="shared" si="191"/>
        <v>50</v>
      </c>
      <c r="AL487" s="116">
        <v>5</v>
      </c>
      <c r="AM487" s="486">
        <f t="shared" si="188"/>
        <v>6.37</v>
      </c>
      <c r="AN487" s="117">
        <f t="shared" si="192"/>
        <v>-1</v>
      </c>
      <c r="AO487" s="487">
        <f t="shared" si="189"/>
        <v>-19</v>
      </c>
      <c r="AP487" s="610"/>
    </row>
    <row r="488" spans="1:42" ht="14.25" customHeight="1">
      <c r="A488" s="701">
        <v>482</v>
      </c>
      <c r="B488" s="477"/>
      <c r="C488" s="477" t="s">
        <v>1536</v>
      </c>
      <c r="D488" s="477" t="s">
        <v>1423</v>
      </c>
      <c r="E488" s="475" t="s">
        <v>1515</v>
      </c>
      <c r="F488" s="477" t="s">
        <v>1537</v>
      </c>
      <c r="G488" s="579" t="s">
        <v>1942</v>
      </c>
      <c r="H488" s="482">
        <v>1</v>
      </c>
      <c r="I488" s="580">
        <v>40743</v>
      </c>
      <c r="J488" s="580">
        <v>40743</v>
      </c>
      <c r="K488" s="581">
        <v>2957.27</v>
      </c>
      <c r="L488" s="581">
        <v>0</v>
      </c>
      <c r="M488" s="582"/>
      <c r="N488" s="582"/>
      <c r="O488" s="582"/>
      <c r="P488" s="582">
        <f t="shared" si="176"/>
        <v>2957.27</v>
      </c>
      <c r="Q488" s="582">
        <f t="shared" si="177"/>
        <v>0</v>
      </c>
      <c r="R488" s="583">
        <f t="shared" si="178"/>
        <v>50</v>
      </c>
      <c r="S488" s="584"/>
      <c r="T488" s="584"/>
      <c r="U488" s="585">
        <f t="shared" si="190"/>
        <v>50</v>
      </c>
      <c r="V488" s="586" t="str">
        <f t="shared" si="179"/>
        <v/>
      </c>
      <c r="W488" s="477"/>
      <c r="X488" s="619">
        <f t="shared" si="174"/>
        <v>3460.01</v>
      </c>
      <c r="Y488" s="618"/>
      <c r="Z488" s="617">
        <v>60</v>
      </c>
      <c r="AA488" s="361">
        <f t="shared" si="180"/>
        <v>51.28</v>
      </c>
      <c r="AB488" s="597"/>
      <c r="AC488" s="485">
        <f t="shared" si="181"/>
        <v>0</v>
      </c>
      <c r="AD488" s="597"/>
      <c r="AE488" s="485">
        <f t="shared" si="182"/>
        <v>0</v>
      </c>
      <c r="AF488" s="508">
        <f t="shared" si="183"/>
        <v>0</v>
      </c>
      <c r="AG488" s="508">
        <f t="shared" si="184"/>
        <v>0</v>
      </c>
      <c r="AH488" s="508">
        <f t="shared" si="185"/>
        <v>60</v>
      </c>
      <c r="AI488" s="508">
        <f t="shared" si="186"/>
        <v>0</v>
      </c>
      <c r="AJ488" s="508">
        <f t="shared" si="187"/>
        <v>8.7200000000000006</v>
      </c>
      <c r="AK488" s="508">
        <f t="shared" si="191"/>
        <v>50</v>
      </c>
      <c r="AL488" s="116">
        <v>5</v>
      </c>
      <c r="AM488" s="486">
        <f t="shared" si="188"/>
        <v>6.37</v>
      </c>
      <c r="AN488" s="117">
        <f t="shared" si="192"/>
        <v>-1</v>
      </c>
      <c r="AO488" s="487">
        <f t="shared" si="189"/>
        <v>-19</v>
      </c>
      <c r="AP488" s="610"/>
    </row>
    <row r="489" spans="1:42" ht="14.25" customHeight="1">
      <c r="A489" s="701">
        <v>483</v>
      </c>
      <c r="B489" s="477"/>
      <c r="C489" s="477" t="s">
        <v>1514</v>
      </c>
      <c r="D489" s="477" t="s">
        <v>1424</v>
      </c>
      <c r="E489" s="475" t="s">
        <v>1515</v>
      </c>
      <c r="F489" s="477" t="s">
        <v>1516</v>
      </c>
      <c r="G489" s="482" t="s">
        <v>1943</v>
      </c>
      <c r="H489" s="482">
        <v>1</v>
      </c>
      <c r="I489" s="580">
        <v>40603</v>
      </c>
      <c r="J489" s="580">
        <v>40603</v>
      </c>
      <c r="K489" s="581">
        <v>1675.21</v>
      </c>
      <c r="L489" s="581">
        <v>0</v>
      </c>
      <c r="M489" s="582"/>
      <c r="N489" s="582"/>
      <c r="O489" s="582"/>
      <c r="P489" s="582">
        <f t="shared" si="176"/>
        <v>1675.21</v>
      </c>
      <c r="Q489" s="582">
        <f t="shared" si="177"/>
        <v>0</v>
      </c>
      <c r="R489" s="583">
        <f t="shared" si="178"/>
        <v>40</v>
      </c>
      <c r="S489" s="584"/>
      <c r="T489" s="584"/>
      <c r="U489" s="585">
        <f t="shared" si="190"/>
        <v>40</v>
      </c>
      <c r="V489" s="586" t="str">
        <f t="shared" si="179"/>
        <v/>
      </c>
      <c r="W489" s="477"/>
      <c r="X489" s="619">
        <f t="shared" si="174"/>
        <v>1960</v>
      </c>
      <c r="Y489" s="618"/>
      <c r="Z489" s="617">
        <v>50</v>
      </c>
      <c r="AA489" s="361">
        <f t="shared" si="180"/>
        <v>42.74</v>
      </c>
      <c r="AB489" s="597"/>
      <c r="AC489" s="485">
        <f t="shared" si="181"/>
        <v>0</v>
      </c>
      <c r="AD489" s="597"/>
      <c r="AE489" s="485">
        <f t="shared" si="182"/>
        <v>0</v>
      </c>
      <c r="AF489" s="508">
        <f t="shared" si="183"/>
        <v>0</v>
      </c>
      <c r="AG489" s="508">
        <f t="shared" si="184"/>
        <v>0</v>
      </c>
      <c r="AH489" s="508">
        <f t="shared" si="185"/>
        <v>50</v>
      </c>
      <c r="AI489" s="508">
        <f t="shared" si="186"/>
        <v>0</v>
      </c>
      <c r="AJ489" s="508">
        <f t="shared" si="187"/>
        <v>7.26</v>
      </c>
      <c r="AK489" s="508">
        <f t="shared" si="191"/>
        <v>40</v>
      </c>
      <c r="AL489" s="116">
        <v>5</v>
      </c>
      <c r="AM489" s="486">
        <f t="shared" si="188"/>
        <v>6.76</v>
      </c>
      <c r="AN489" s="117">
        <f t="shared" si="192"/>
        <v>-2</v>
      </c>
      <c r="AO489" s="487">
        <f t="shared" si="189"/>
        <v>-42</v>
      </c>
      <c r="AP489" s="610"/>
    </row>
    <row r="490" spans="1:42" ht="14.25" customHeight="1">
      <c r="A490" s="701">
        <v>484</v>
      </c>
      <c r="B490" s="477"/>
      <c r="C490" s="477" t="s">
        <v>1514</v>
      </c>
      <c r="D490" s="477" t="s">
        <v>1801</v>
      </c>
      <c r="E490" s="475" t="s">
        <v>1515</v>
      </c>
      <c r="F490" s="477" t="s">
        <v>1802</v>
      </c>
      <c r="G490" s="482" t="s">
        <v>1943</v>
      </c>
      <c r="H490" s="482">
        <v>1</v>
      </c>
      <c r="I490" s="580">
        <v>40743</v>
      </c>
      <c r="J490" s="580">
        <v>40743</v>
      </c>
      <c r="K490" s="581">
        <v>9829.06</v>
      </c>
      <c r="L490" s="581">
        <v>159.83000000000001</v>
      </c>
      <c r="M490" s="582"/>
      <c r="N490" s="582"/>
      <c r="O490" s="582"/>
      <c r="P490" s="582">
        <f t="shared" si="176"/>
        <v>9829.06</v>
      </c>
      <c r="Q490" s="582">
        <f t="shared" si="177"/>
        <v>159.83000000000001</v>
      </c>
      <c r="R490" s="583">
        <f t="shared" si="178"/>
        <v>40</v>
      </c>
      <c r="S490" s="584"/>
      <c r="T490" s="584"/>
      <c r="U490" s="585">
        <f t="shared" si="190"/>
        <v>40</v>
      </c>
      <c r="V490" s="586">
        <f t="shared" si="179"/>
        <v>-74.97</v>
      </c>
      <c r="W490" s="477"/>
      <c r="X490" s="619">
        <f t="shared" si="174"/>
        <v>11500</v>
      </c>
      <c r="Y490" s="618"/>
      <c r="Z490" s="617">
        <v>50</v>
      </c>
      <c r="AA490" s="361">
        <f t="shared" si="180"/>
        <v>42.74</v>
      </c>
      <c r="AB490" s="597"/>
      <c r="AC490" s="485">
        <f t="shared" si="181"/>
        <v>0</v>
      </c>
      <c r="AD490" s="597"/>
      <c r="AE490" s="485">
        <f t="shared" si="182"/>
        <v>0</v>
      </c>
      <c r="AF490" s="508">
        <f t="shared" si="183"/>
        <v>0</v>
      </c>
      <c r="AG490" s="508">
        <f t="shared" si="184"/>
        <v>0</v>
      </c>
      <c r="AH490" s="508">
        <f t="shared" si="185"/>
        <v>50</v>
      </c>
      <c r="AI490" s="508">
        <f t="shared" si="186"/>
        <v>0</v>
      </c>
      <c r="AJ490" s="508">
        <f t="shared" si="187"/>
        <v>7.26</v>
      </c>
      <c r="AK490" s="508">
        <f t="shared" si="191"/>
        <v>40</v>
      </c>
      <c r="AL490" s="116">
        <v>5</v>
      </c>
      <c r="AM490" s="486">
        <f t="shared" si="188"/>
        <v>6.37</v>
      </c>
      <c r="AN490" s="117">
        <f t="shared" si="192"/>
        <v>-1</v>
      </c>
      <c r="AO490" s="487">
        <f t="shared" si="189"/>
        <v>-19</v>
      </c>
      <c r="AP490" s="610"/>
    </row>
    <row r="491" spans="1:42" ht="14.25" customHeight="1">
      <c r="A491" s="701">
        <v>485</v>
      </c>
      <c r="B491" s="477"/>
      <c r="C491" s="477" t="s">
        <v>1755</v>
      </c>
      <c r="D491" s="477" t="s">
        <v>1426</v>
      </c>
      <c r="E491" s="475" t="s">
        <v>1756</v>
      </c>
      <c r="F491" s="477" t="s">
        <v>1757</v>
      </c>
      <c r="G491" s="482" t="s">
        <v>1943</v>
      </c>
      <c r="H491" s="482">
        <v>1</v>
      </c>
      <c r="I491" s="580">
        <v>40743</v>
      </c>
      <c r="J491" s="580">
        <v>40743</v>
      </c>
      <c r="K491" s="581">
        <v>1870</v>
      </c>
      <c r="L491" s="581">
        <v>0</v>
      </c>
      <c r="M491" s="582"/>
      <c r="N491" s="582"/>
      <c r="O491" s="582"/>
      <c r="P491" s="582">
        <f t="shared" si="176"/>
        <v>1870</v>
      </c>
      <c r="Q491" s="582">
        <f t="shared" si="177"/>
        <v>0</v>
      </c>
      <c r="R491" s="583">
        <f t="shared" si="178"/>
        <v>50</v>
      </c>
      <c r="S491" s="584"/>
      <c r="T491" s="584"/>
      <c r="U491" s="585">
        <f t="shared" si="190"/>
        <v>50</v>
      </c>
      <c r="V491" s="586" t="str">
        <f t="shared" si="179"/>
        <v/>
      </c>
      <c r="W491" s="477"/>
      <c r="X491" s="618">
        <f>P491/H491</f>
        <v>1870</v>
      </c>
      <c r="Y491" s="618"/>
      <c r="Z491" s="617">
        <v>60</v>
      </c>
      <c r="AA491" s="361">
        <f t="shared" si="180"/>
        <v>51.28</v>
      </c>
      <c r="AB491" s="597"/>
      <c r="AC491" s="485">
        <f t="shared" si="181"/>
        <v>0</v>
      </c>
      <c r="AD491" s="597"/>
      <c r="AE491" s="485">
        <f t="shared" si="182"/>
        <v>0</v>
      </c>
      <c r="AF491" s="508">
        <f t="shared" si="183"/>
        <v>0</v>
      </c>
      <c r="AG491" s="508">
        <f t="shared" si="184"/>
        <v>0</v>
      </c>
      <c r="AH491" s="508">
        <f t="shared" si="185"/>
        <v>60</v>
      </c>
      <c r="AI491" s="508">
        <f t="shared" si="186"/>
        <v>0</v>
      </c>
      <c r="AJ491" s="508">
        <f t="shared" si="187"/>
        <v>8.7200000000000006</v>
      </c>
      <c r="AK491" s="508">
        <f t="shared" si="191"/>
        <v>50</v>
      </c>
      <c r="AL491" s="116">
        <v>5</v>
      </c>
      <c r="AM491" s="486">
        <f t="shared" si="188"/>
        <v>6.37</v>
      </c>
      <c r="AN491" s="117">
        <f t="shared" si="192"/>
        <v>-1</v>
      </c>
      <c r="AO491" s="487">
        <f t="shared" si="189"/>
        <v>-19</v>
      </c>
      <c r="AP491" s="610"/>
    </row>
    <row r="492" spans="1:42" ht="14.25" customHeight="1">
      <c r="A492" s="701">
        <v>486</v>
      </c>
      <c r="B492" s="477"/>
      <c r="C492" s="477" t="s">
        <v>1755</v>
      </c>
      <c r="D492" s="477" t="s">
        <v>1426</v>
      </c>
      <c r="E492" s="475" t="s">
        <v>1756</v>
      </c>
      <c r="F492" s="477" t="s">
        <v>1757</v>
      </c>
      <c r="G492" s="482" t="s">
        <v>1943</v>
      </c>
      <c r="H492" s="482">
        <v>1</v>
      </c>
      <c r="I492" s="580">
        <v>40743</v>
      </c>
      <c r="J492" s="580">
        <v>40743</v>
      </c>
      <c r="K492" s="581">
        <v>1870</v>
      </c>
      <c r="L492" s="581">
        <v>0</v>
      </c>
      <c r="M492" s="582"/>
      <c r="N492" s="582"/>
      <c r="O492" s="582"/>
      <c r="P492" s="582">
        <f t="shared" si="176"/>
        <v>1870</v>
      </c>
      <c r="Q492" s="582">
        <f t="shared" si="177"/>
        <v>0</v>
      </c>
      <c r="R492" s="583">
        <f t="shared" si="178"/>
        <v>50</v>
      </c>
      <c r="S492" s="584"/>
      <c r="T492" s="584"/>
      <c r="U492" s="585">
        <f t="shared" si="190"/>
        <v>50</v>
      </c>
      <c r="V492" s="586" t="str">
        <f t="shared" si="179"/>
        <v/>
      </c>
      <c r="W492" s="477"/>
      <c r="X492" s="618">
        <f>P492/H492</f>
        <v>1870</v>
      </c>
      <c r="Y492" s="618"/>
      <c r="Z492" s="617">
        <v>60</v>
      </c>
      <c r="AA492" s="361">
        <f t="shared" si="180"/>
        <v>51.28</v>
      </c>
      <c r="AB492" s="597"/>
      <c r="AC492" s="485">
        <f t="shared" si="181"/>
        <v>0</v>
      </c>
      <c r="AD492" s="597"/>
      <c r="AE492" s="485">
        <f t="shared" si="182"/>
        <v>0</v>
      </c>
      <c r="AF492" s="508">
        <f t="shared" si="183"/>
        <v>0</v>
      </c>
      <c r="AG492" s="508">
        <f t="shared" si="184"/>
        <v>0</v>
      </c>
      <c r="AH492" s="508">
        <f t="shared" si="185"/>
        <v>60</v>
      </c>
      <c r="AI492" s="508">
        <f t="shared" si="186"/>
        <v>0</v>
      </c>
      <c r="AJ492" s="508">
        <f t="shared" si="187"/>
        <v>8.7200000000000006</v>
      </c>
      <c r="AK492" s="508">
        <f t="shared" si="191"/>
        <v>50</v>
      </c>
      <c r="AL492" s="116">
        <v>5</v>
      </c>
      <c r="AM492" s="486">
        <f t="shared" si="188"/>
        <v>6.37</v>
      </c>
      <c r="AN492" s="117">
        <f t="shared" si="192"/>
        <v>-1</v>
      </c>
      <c r="AO492" s="487">
        <f t="shared" si="189"/>
        <v>-19</v>
      </c>
      <c r="AP492" s="610"/>
    </row>
    <row r="493" spans="1:42" ht="14.25" customHeight="1">
      <c r="A493" s="701">
        <v>487</v>
      </c>
      <c r="B493" s="477"/>
      <c r="C493" s="477" t="s">
        <v>1755</v>
      </c>
      <c r="D493" s="477" t="s">
        <v>1426</v>
      </c>
      <c r="E493" s="475" t="s">
        <v>1756</v>
      </c>
      <c r="F493" s="477" t="s">
        <v>1757</v>
      </c>
      <c r="G493" s="482" t="s">
        <v>1943</v>
      </c>
      <c r="H493" s="482">
        <v>1</v>
      </c>
      <c r="I493" s="580">
        <v>40743</v>
      </c>
      <c r="J493" s="580">
        <v>40743</v>
      </c>
      <c r="K493" s="581">
        <v>1870</v>
      </c>
      <c r="L493" s="581">
        <v>0</v>
      </c>
      <c r="M493" s="582"/>
      <c r="N493" s="582"/>
      <c r="O493" s="582"/>
      <c r="P493" s="582">
        <f t="shared" si="176"/>
        <v>1870</v>
      </c>
      <c r="Q493" s="582">
        <f t="shared" si="177"/>
        <v>0</v>
      </c>
      <c r="R493" s="583">
        <f t="shared" si="178"/>
        <v>50</v>
      </c>
      <c r="S493" s="584"/>
      <c r="T493" s="584"/>
      <c r="U493" s="585">
        <f t="shared" si="190"/>
        <v>50</v>
      </c>
      <c r="V493" s="586" t="str">
        <f t="shared" si="179"/>
        <v/>
      </c>
      <c r="W493" s="477"/>
      <c r="X493" s="618">
        <f>P493/H493</f>
        <v>1870</v>
      </c>
      <c r="Y493" s="618"/>
      <c r="Z493" s="617">
        <v>60</v>
      </c>
      <c r="AA493" s="361">
        <f t="shared" si="180"/>
        <v>51.28</v>
      </c>
      <c r="AB493" s="597"/>
      <c r="AC493" s="485">
        <f t="shared" si="181"/>
        <v>0</v>
      </c>
      <c r="AD493" s="597"/>
      <c r="AE493" s="485">
        <f t="shared" si="182"/>
        <v>0</v>
      </c>
      <c r="AF493" s="508">
        <f t="shared" si="183"/>
        <v>0</v>
      </c>
      <c r="AG493" s="508">
        <f t="shared" si="184"/>
        <v>0</v>
      </c>
      <c r="AH493" s="508">
        <f t="shared" si="185"/>
        <v>60</v>
      </c>
      <c r="AI493" s="508">
        <f t="shared" si="186"/>
        <v>0</v>
      </c>
      <c r="AJ493" s="508">
        <f t="shared" si="187"/>
        <v>8.7200000000000006</v>
      </c>
      <c r="AK493" s="508">
        <f t="shared" si="191"/>
        <v>50</v>
      </c>
      <c r="AL493" s="116">
        <v>5</v>
      </c>
      <c r="AM493" s="486">
        <f t="shared" si="188"/>
        <v>6.37</v>
      </c>
      <c r="AN493" s="117">
        <f t="shared" si="192"/>
        <v>-1</v>
      </c>
      <c r="AO493" s="487">
        <f t="shared" si="189"/>
        <v>-19</v>
      </c>
      <c r="AP493" s="610"/>
    </row>
    <row r="494" spans="1:42" ht="14.25" customHeight="1">
      <c r="A494" s="701">
        <v>488</v>
      </c>
      <c r="B494" s="477"/>
      <c r="C494" s="477" t="s">
        <v>1755</v>
      </c>
      <c r="D494" s="477" t="s">
        <v>1426</v>
      </c>
      <c r="E494" s="475" t="s">
        <v>1756</v>
      </c>
      <c r="F494" s="477" t="s">
        <v>1757</v>
      </c>
      <c r="G494" s="482" t="s">
        <v>1943</v>
      </c>
      <c r="H494" s="482">
        <v>1</v>
      </c>
      <c r="I494" s="580">
        <v>40743</v>
      </c>
      <c r="J494" s="580">
        <v>40743</v>
      </c>
      <c r="K494" s="581">
        <v>1870</v>
      </c>
      <c r="L494" s="581">
        <v>0</v>
      </c>
      <c r="M494" s="582"/>
      <c r="N494" s="582"/>
      <c r="O494" s="582"/>
      <c r="P494" s="582">
        <f t="shared" si="176"/>
        <v>1870</v>
      </c>
      <c r="Q494" s="582">
        <f t="shared" si="177"/>
        <v>0</v>
      </c>
      <c r="R494" s="583">
        <f t="shared" si="178"/>
        <v>50</v>
      </c>
      <c r="S494" s="584"/>
      <c r="T494" s="584"/>
      <c r="U494" s="585">
        <f t="shared" si="190"/>
        <v>50</v>
      </c>
      <c r="V494" s="586" t="str">
        <f t="shared" si="179"/>
        <v/>
      </c>
      <c r="W494" s="477"/>
      <c r="X494" s="618">
        <f>P494/H494</f>
        <v>1870</v>
      </c>
      <c r="Y494" s="618"/>
      <c r="Z494" s="617">
        <v>60</v>
      </c>
      <c r="AA494" s="361">
        <f t="shared" si="180"/>
        <v>51.28</v>
      </c>
      <c r="AB494" s="597"/>
      <c r="AC494" s="485">
        <f t="shared" si="181"/>
        <v>0</v>
      </c>
      <c r="AD494" s="597"/>
      <c r="AE494" s="485">
        <f t="shared" si="182"/>
        <v>0</v>
      </c>
      <c r="AF494" s="508">
        <f t="shared" si="183"/>
        <v>0</v>
      </c>
      <c r="AG494" s="508">
        <f t="shared" si="184"/>
        <v>0</v>
      </c>
      <c r="AH494" s="508">
        <f t="shared" si="185"/>
        <v>60</v>
      </c>
      <c r="AI494" s="508">
        <f t="shared" si="186"/>
        <v>0</v>
      </c>
      <c r="AJ494" s="508">
        <f t="shared" si="187"/>
        <v>8.7200000000000006</v>
      </c>
      <c r="AK494" s="508">
        <f t="shared" si="191"/>
        <v>50</v>
      </c>
      <c r="AL494" s="116">
        <v>5</v>
      </c>
      <c r="AM494" s="486">
        <f t="shared" si="188"/>
        <v>6.37</v>
      </c>
      <c r="AN494" s="117">
        <f t="shared" si="192"/>
        <v>-1</v>
      </c>
      <c r="AO494" s="487">
        <f t="shared" si="189"/>
        <v>-19</v>
      </c>
      <c r="AP494" s="610"/>
    </row>
    <row r="495" spans="1:42" ht="14.25" customHeight="1">
      <c r="A495" s="701">
        <v>489</v>
      </c>
      <c r="B495" s="477"/>
      <c r="C495" s="477" t="s">
        <v>1514</v>
      </c>
      <c r="D495" s="477" t="s">
        <v>1424</v>
      </c>
      <c r="E495" s="475" t="s">
        <v>1515</v>
      </c>
      <c r="F495" s="477" t="s">
        <v>1516</v>
      </c>
      <c r="G495" s="482" t="s">
        <v>1943</v>
      </c>
      <c r="H495" s="482">
        <v>1</v>
      </c>
      <c r="I495" s="580">
        <v>40603</v>
      </c>
      <c r="J495" s="580">
        <v>40603</v>
      </c>
      <c r="K495" s="581">
        <v>1675.21</v>
      </c>
      <c r="L495" s="581">
        <v>0</v>
      </c>
      <c r="M495" s="582"/>
      <c r="N495" s="582"/>
      <c r="O495" s="582"/>
      <c r="P495" s="582">
        <f t="shared" si="176"/>
        <v>1675.21</v>
      </c>
      <c r="Q495" s="582">
        <f t="shared" si="177"/>
        <v>0</v>
      </c>
      <c r="R495" s="583">
        <f t="shared" si="178"/>
        <v>40</v>
      </c>
      <c r="S495" s="584"/>
      <c r="T495" s="584"/>
      <c r="U495" s="585">
        <f t="shared" si="190"/>
        <v>40</v>
      </c>
      <c r="V495" s="586" t="str">
        <f t="shared" si="179"/>
        <v/>
      </c>
      <c r="W495" s="477"/>
      <c r="X495" s="619">
        <f t="shared" ref="X495:X504" si="193">P495*1.17/H495</f>
        <v>1960</v>
      </c>
      <c r="Y495" s="618"/>
      <c r="Z495" s="617">
        <v>50</v>
      </c>
      <c r="AA495" s="361">
        <f t="shared" si="180"/>
        <v>42.74</v>
      </c>
      <c r="AB495" s="597"/>
      <c r="AC495" s="485">
        <f t="shared" si="181"/>
        <v>0</v>
      </c>
      <c r="AD495" s="597"/>
      <c r="AE495" s="485">
        <f t="shared" si="182"/>
        <v>0</v>
      </c>
      <c r="AF495" s="508">
        <f t="shared" si="183"/>
        <v>0</v>
      </c>
      <c r="AG495" s="508">
        <f t="shared" si="184"/>
        <v>0</v>
      </c>
      <c r="AH495" s="508">
        <f t="shared" si="185"/>
        <v>50</v>
      </c>
      <c r="AI495" s="508">
        <f t="shared" si="186"/>
        <v>0</v>
      </c>
      <c r="AJ495" s="508">
        <f t="shared" si="187"/>
        <v>7.26</v>
      </c>
      <c r="AK495" s="508">
        <f t="shared" si="191"/>
        <v>40</v>
      </c>
      <c r="AL495" s="116">
        <v>5</v>
      </c>
      <c r="AM495" s="486">
        <f t="shared" si="188"/>
        <v>6.76</v>
      </c>
      <c r="AN495" s="117">
        <f t="shared" si="192"/>
        <v>-2</v>
      </c>
      <c r="AO495" s="487">
        <f t="shared" si="189"/>
        <v>-42</v>
      </c>
      <c r="AP495" s="610"/>
    </row>
    <row r="496" spans="1:42" ht="14.25" customHeight="1">
      <c r="A496" s="701">
        <v>490</v>
      </c>
      <c r="B496" s="477"/>
      <c r="C496" s="477" t="s">
        <v>1514</v>
      </c>
      <c r="D496" s="477" t="s">
        <v>1424</v>
      </c>
      <c r="E496" s="475" t="s">
        <v>1515</v>
      </c>
      <c r="F496" s="477" t="s">
        <v>1516</v>
      </c>
      <c r="G496" s="482" t="s">
        <v>1943</v>
      </c>
      <c r="H496" s="482">
        <v>1</v>
      </c>
      <c r="I496" s="580">
        <v>40603</v>
      </c>
      <c r="J496" s="580">
        <v>40603</v>
      </c>
      <c r="K496" s="581">
        <v>1675.21</v>
      </c>
      <c r="L496" s="581">
        <v>0</v>
      </c>
      <c r="M496" s="582"/>
      <c r="N496" s="582"/>
      <c r="O496" s="582"/>
      <c r="P496" s="582">
        <f t="shared" si="176"/>
        <v>1675.21</v>
      </c>
      <c r="Q496" s="582">
        <f t="shared" si="177"/>
        <v>0</v>
      </c>
      <c r="R496" s="583">
        <f t="shared" si="178"/>
        <v>40</v>
      </c>
      <c r="S496" s="584"/>
      <c r="T496" s="584"/>
      <c r="U496" s="585">
        <f t="shared" si="190"/>
        <v>40</v>
      </c>
      <c r="V496" s="586" t="str">
        <f t="shared" si="179"/>
        <v/>
      </c>
      <c r="W496" s="477"/>
      <c r="X496" s="619">
        <f t="shared" si="193"/>
        <v>1960</v>
      </c>
      <c r="Y496" s="618"/>
      <c r="Z496" s="617">
        <v>50</v>
      </c>
      <c r="AA496" s="361">
        <f t="shared" si="180"/>
        <v>42.74</v>
      </c>
      <c r="AB496" s="597"/>
      <c r="AC496" s="485">
        <f t="shared" si="181"/>
        <v>0</v>
      </c>
      <c r="AD496" s="597"/>
      <c r="AE496" s="485">
        <f t="shared" si="182"/>
        <v>0</v>
      </c>
      <c r="AF496" s="508">
        <f t="shared" si="183"/>
        <v>0</v>
      </c>
      <c r="AG496" s="508">
        <f t="shared" si="184"/>
        <v>0</v>
      </c>
      <c r="AH496" s="508">
        <f t="shared" si="185"/>
        <v>50</v>
      </c>
      <c r="AI496" s="508">
        <f t="shared" si="186"/>
        <v>0</v>
      </c>
      <c r="AJ496" s="508">
        <f t="shared" si="187"/>
        <v>7.26</v>
      </c>
      <c r="AK496" s="508">
        <f t="shared" si="191"/>
        <v>40</v>
      </c>
      <c r="AL496" s="116">
        <v>5</v>
      </c>
      <c r="AM496" s="486">
        <f t="shared" si="188"/>
        <v>6.76</v>
      </c>
      <c r="AN496" s="117">
        <f t="shared" si="192"/>
        <v>-2</v>
      </c>
      <c r="AO496" s="487">
        <f t="shared" si="189"/>
        <v>-42</v>
      </c>
      <c r="AP496" s="610"/>
    </row>
    <row r="497" spans="1:42" ht="14.25" customHeight="1">
      <c r="A497" s="701">
        <v>491</v>
      </c>
      <c r="B497" s="477"/>
      <c r="C497" s="477" t="s">
        <v>1514</v>
      </c>
      <c r="D497" s="477" t="s">
        <v>1424</v>
      </c>
      <c r="E497" s="475" t="s">
        <v>1515</v>
      </c>
      <c r="F497" s="477" t="s">
        <v>1516</v>
      </c>
      <c r="G497" s="482" t="s">
        <v>1943</v>
      </c>
      <c r="H497" s="482">
        <v>1</v>
      </c>
      <c r="I497" s="580">
        <v>40603</v>
      </c>
      <c r="J497" s="580">
        <v>40603</v>
      </c>
      <c r="K497" s="581">
        <v>1675.22</v>
      </c>
      <c r="L497" s="581">
        <v>0</v>
      </c>
      <c r="M497" s="582"/>
      <c r="N497" s="582"/>
      <c r="O497" s="582"/>
      <c r="P497" s="582">
        <f t="shared" si="176"/>
        <v>1675.22</v>
      </c>
      <c r="Q497" s="582">
        <f t="shared" si="177"/>
        <v>0</v>
      </c>
      <c r="R497" s="583">
        <f t="shared" si="178"/>
        <v>40</v>
      </c>
      <c r="S497" s="584"/>
      <c r="T497" s="584"/>
      <c r="U497" s="585">
        <f t="shared" si="190"/>
        <v>40</v>
      </c>
      <c r="V497" s="586" t="str">
        <f t="shared" si="179"/>
        <v/>
      </c>
      <c r="W497" s="477"/>
      <c r="X497" s="619">
        <f t="shared" si="193"/>
        <v>1960.01</v>
      </c>
      <c r="Y497" s="618"/>
      <c r="Z497" s="617">
        <v>50</v>
      </c>
      <c r="AA497" s="361">
        <f t="shared" si="180"/>
        <v>42.74</v>
      </c>
      <c r="AB497" s="597"/>
      <c r="AC497" s="485">
        <f t="shared" si="181"/>
        <v>0</v>
      </c>
      <c r="AD497" s="597"/>
      <c r="AE497" s="485">
        <f t="shared" si="182"/>
        <v>0</v>
      </c>
      <c r="AF497" s="508">
        <f t="shared" si="183"/>
        <v>0</v>
      </c>
      <c r="AG497" s="508">
        <f t="shared" si="184"/>
        <v>0</v>
      </c>
      <c r="AH497" s="508">
        <f t="shared" si="185"/>
        <v>50</v>
      </c>
      <c r="AI497" s="508">
        <f t="shared" si="186"/>
        <v>0</v>
      </c>
      <c r="AJ497" s="508">
        <f t="shared" si="187"/>
        <v>7.26</v>
      </c>
      <c r="AK497" s="508">
        <f t="shared" si="191"/>
        <v>40</v>
      </c>
      <c r="AL497" s="116">
        <v>5</v>
      </c>
      <c r="AM497" s="486">
        <f t="shared" si="188"/>
        <v>6.76</v>
      </c>
      <c r="AN497" s="117">
        <f t="shared" si="192"/>
        <v>-2</v>
      </c>
      <c r="AO497" s="487">
        <f t="shared" si="189"/>
        <v>-42</v>
      </c>
      <c r="AP497" s="610"/>
    </row>
    <row r="498" spans="1:42" ht="14.25" customHeight="1">
      <c r="A498" s="701">
        <v>492</v>
      </c>
      <c r="B498" s="477"/>
      <c r="C498" s="477" t="s">
        <v>1514</v>
      </c>
      <c r="D498" s="477" t="s">
        <v>1424</v>
      </c>
      <c r="E498" s="475" t="s">
        <v>1515</v>
      </c>
      <c r="F498" s="477" t="s">
        <v>1516</v>
      </c>
      <c r="G498" s="482" t="s">
        <v>1943</v>
      </c>
      <c r="H498" s="482">
        <v>1</v>
      </c>
      <c r="I498" s="580">
        <v>40603</v>
      </c>
      <c r="J498" s="580">
        <v>40603</v>
      </c>
      <c r="K498" s="581">
        <v>1675.22</v>
      </c>
      <c r="L498" s="581">
        <v>0</v>
      </c>
      <c r="M498" s="582"/>
      <c r="N498" s="582"/>
      <c r="O498" s="582"/>
      <c r="P498" s="582">
        <f t="shared" si="176"/>
        <v>1675.22</v>
      </c>
      <c r="Q498" s="582">
        <f t="shared" si="177"/>
        <v>0</v>
      </c>
      <c r="R498" s="583">
        <f t="shared" si="178"/>
        <v>40</v>
      </c>
      <c r="S498" s="584"/>
      <c r="T498" s="584"/>
      <c r="U498" s="585">
        <f t="shared" si="190"/>
        <v>40</v>
      </c>
      <c r="V498" s="586" t="str">
        <f t="shared" si="179"/>
        <v/>
      </c>
      <c r="W498" s="477"/>
      <c r="X498" s="619">
        <f t="shared" si="193"/>
        <v>1960.01</v>
      </c>
      <c r="Y498" s="618"/>
      <c r="Z498" s="617">
        <v>50</v>
      </c>
      <c r="AA498" s="361">
        <f t="shared" si="180"/>
        <v>42.74</v>
      </c>
      <c r="AB498" s="597"/>
      <c r="AC498" s="485">
        <f t="shared" si="181"/>
        <v>0</v>
      </c>
      <c r="AD498" s="597"/>
      <c r="AE498" s="485">
        <f t="shared" si="182"/>
        <v>0</v>
      </c>
      <c r="AF498" s="508">
        <f t="shared" si="183"/>
        <v>0</v>
      </c>
      <c r="AG498" s="508">
        <f t="shared" si="184"/>
        <v>0</v>
      </c>
      <c r="AH498" s="508">
        <f t="shared" si="185"/>
        <v>50</v>
      </c>
      <c r="AI498" s="508">
        <f t="shared" si="186"/>
        <v>0</v>
      </c>
      <c r="AJ498" s="508">
        <f t="shared" si="187"/>
        <v>7.26</v>
      </c>
      <c r="AK498" s="508">
        <f t="shared" si="191"/>
        <v>40</v>
      </c>
      <c r="AL498" s="116">
        <v>5</v>
      </c>
      <c r="AM498" s="486">
        <f t="shared" si="188"/>
        <v>6.76</v>
      </c>
      <c r="AN498" s="117">
        <f t="shared" si="192"/>
        <v>-2</v>
      </c>
      <c r="AO498" s="487">
        <f t="shared" si="189"/>
        <v>-42</v>
      </c>
      <c r="AP498" s="610"/>
    </row>
    <row r="499" spans="1:42" ht="14.25" customHeight="1">
      <c r="A499" s="701">
        <v>493</v>
      </c>
      <c r="B499" s="477"/>
      <c r="C499" s="477" t="s">
        <v>1514</v>
      </c>
      <c r="D499" s="477" t="s">
        <v>1416</v>
      </c>
      <c r="E499" s="475" t="s">
        <v>1515</v>
      </c>
      <c r="F499" s="477" t="s">
        <v>1516</v>
      </c>
      <c r="G499" s="482" t="s">
        <v>1943</v>
      </c>
      <c r="H499" s="482">
        <v>1</v>
      </c>
      <c r="I499" s="580">
        <v>40603</v>
      </c>
      <c r="J499" s="580">
        <v>40603</v>
      </c>
      <c r="K499" s="581">
        <v>1282.06</v>
      </c>
      <c r="L499" s="581">
        <v>0</v>
      </c>
      <c r="M499" s="582"/>
      <c r="N499" s="582"/>
      <c r="O499" s="582"/>
      <c r="P499" s="582">
        <f t="shared" si="176"/>
        <v>1282.06</v>
      </c>
      <c r="Q499" s="582">
        <f t="shared" si="177"/>
        <v>0</v>
      </c>
      <c r="R499" s="583">
        <f t="shared" si="178"/>
        <v>40</v>
      </c>
      <c r="S499" s="584"/>
      <c r="T499" s="584"/>
      <c r="U499" s="585">
        <f t="shared" si="190"/>
        <v>40</v>
      </c>
      <c r="V499" s="586" t="str">
        <f t="shared" si="179"/>
        <v/>
      </c>
      <c r="W499" s="477"/>
      <c r="X499" s="619">
        <f t="shared" si="193"/>
        <v>1500.01</v>
      </c>
      <c r="Y499" s="618"/>
      <c r="Z499" s="617">
        <v>50</v>
      </c>
      <c r="AA499" s="361">
        <f t="shared" si="180"/>
        <v>42.74</v>
      </c>
      <c r="AB499" s="597"/>
      <c r="AC499" s="485">
        <f t="shared" si="181"/>
        <v>0</v>
      </c>
      <c r="AD499" s="597"/>
      <c r="AE499" s="485">
        <f t="shared" si="182"/>
        <v>0</v>
      </c>
      <c r="AF499" s="508">
        <f t="shared" si="183"/>
        <v>0</v>
      </c>
      <c r="AG499" s="508">
        <f t="shared" si="184"/>
        <v>0</v>
      </c>
      <c r="AH499" s="508">
        <f t="shared" si="185"/>
        <v>50</v>
      </c>
      <c r="AI499" s="508">
        <f t="shared" si="186"/>
        <v>0</v>
      </c>
      <c r="AJ499" s="508">
        <f t="shared" si="187"/>
        <v>7.26</v>
      </c>
      <c r="AK499" s="508">
        <f t="shared" si="191"/>
        <v>40</v>
      </c>
      <c r="AL499" s="116">
        <v>5</v>
      </c>
      <c r="AM499" s="486">
        <f t="shared" si="188"/>
        <v>6.76</v>
      </c>
      <c r="AN499" s="117">
        <f t="shared" si="192"/>
        <v>-2</v>
      </c>
      <c r="AO499" s="487">
        <f t="shared" si="189"/>
        <v>-42</v>
      </c>
      <c r="AP499" s="610"/>
    </row>
    <row r="500" spans="1:42" ht="14.25" customHeight="1">
      <c r="A500" s="701">
        <v>494</v>
      </c>
      <c r="B500" s="477"/>
      <c r="C500" s="477" t="s">
        <v>1514</v>
      </c>
      <c r="D500" s="477" t="s">
        <v>1416</v>
      </c>
      <c r="E500" s="475" t="s">
        <v>1515</v>
      </c>
      <c r="F500" s="477" t="s">
        <v>1516</v>
      </c>
      <c r="G500" s="482" t="s">
        <v>1943</v>
      </c>
      <c r="H500" s="482">
        <v>1</v>
      </c>
      <c r="I500" s="580">
        <v>40603</v>
      </c>
      <c r="J500" s="580">
        <v>40603</v>
      </c>
      <c r="K500" s="581">
        <v>1282.05</v>
      </c>
      <c r="L500" s="581">
        <v>0</v>
      </c>
      <c r="M500" s="582"/>
      <c r="N500" s="582"/>
      <c r="O500" s="582"/>
      <c r="P500" s="582">
        <f t="shared" si="176"/>
        <v>1282.05</v>
      </c>
      <c r="Q500" s="582">
        <f t="shared" si="177"/>
        <v>0</v>
      </c>
      <c r="R500" s="583">
        <f t="shared" si="178"/>
        <v>40</v>
      </c>
      <c r="S500" s="584"/>
      <c r="T500" s="584"/>
      <c r="U500" s="585">
        <f t="shared" si="190"/>
        <v>40</v>
      </c>
      <c r="V500" s="586" t="str">
        <f t="shared" si="179"/>
        <v/>
      </c>
      <c r="W500" s="477"/>
      <c r="X500" s="619">
        <f t="shared" si="193"/>
        <v>1500</v>
      </c>
      <c r="Y500" s="618"/>
      <c r="Z500" s="617">
        <v>50</v>
      </c>
      <c r="AA500" s="361">
        <f t="shared" si="180"/>
        <v>42.74</v>
      </c>
      <c r="AB500" s="597"/>
      <c r="AC500" s="485">
        <f t="shared" si="181"/>
        <v>0</v>
      </c>
      <c r="AD500" s="597"/>
      <c r="AE500" s="485">
        <f t="shared" si="182"/>
        <v>0</v>
      </c>
      <c r="AF500" s="508">
        <f t="shared" si="183"/>
        <v>0</v>
      </c>
      <c r="AG500" s="508">
        <f t="shared" si="184"/>
        <v>0</v>
      </c>
      <c r="AH500" s="508">
        <f t="shared" si="185"/>
        <v>50</v>
      </c>
      <c r="AI500" s="508">
        <f t="shared" si="186"/>
        <v>0</v>
      </c>
      <c r="AJ500" s="508">
        <f t="shared" si="187"/>
        <v>7.26</v>
      </c>
      <c r="AK500" s="508">
        <f t="shared" si="191"/>
        <v>40</v>
      </c>
      <c r="AL500" s="116">
        <v>5</v>
      </c>
      <c r="AM500" s="486">
        <f t="shared" si="188"/>
        <v>6.76</v>
      </c>
      <c r="AN500" s="117">
        <f t="shared" si="192"/>
        <v>-2</v>
      </c>
      <c r="AO500" s="487">
        <f t="shared" si="189"/>
        <v>-42</v>
      </c>
      <c r="AP500" s="610"/>
    </row>
    <row r="501" spans="1:42" ht="14.25" customHeight="1">
      <c r="A501" s="701">
        <v>495</v>
      </c>
      <c r="B501" s="477"/>
      <c r="C501" s="477" t="s">
        <v>1514</v>
      </c>
      <c r="D501" s="477" t="s">
        <v>1416</v>
      </c>
      <c r="E501" s="475" t="s">
        <v>1515</v>
      </c>
      <c r="F501" s="477" t="s">
        <v>1516</v>
      </c>
      <c r="G501" s="482" t="s">
        <v>1943</v>
      </c>
      <c r="H501" s="482">
        <v>1</v>
      </c>
      <c r="I501" s="580">
        <v>40603</v>
      </c>
      <c r="J501" s="580">
        <v>40603</v>
      </c>
      <c r="K501" s="581">
        <v>1282.05</v>
      </c>
      <c r="L501" s="581">
        <v>0</v>
      </c>
      <c r="M501" s="582"/>
      <c r="N501" s="582"/>
      <c r="O501" s="582"/>
      <c r="P501" s="582">
        <f t="shared" si="176"/>
        <v>1282.05</v>
      </c>
      <c r="Q501" s="582">
        <f t="shared" si="177"/>
        <v>0</v>
      </c>
      <c r="R501" s="583">
        <f t="shared" si="178"/>
        <v>40</v>
      </c>
      <c r="S501" s="584"/>
      <c r="T501" s="584"/>
      <c r="U501" s="585">
        <f t="shared" si="190"/>
        <v>40</v>
      </c>
      <c r="V501" s="586" t="str">
        <f t="shared" si="179"/>
        <v/>
      </c>
      <c r="W501" s="477"/>
      <c r="X501" s="619">
        <f t="shared" si="193"/>
        <v>1500</v>
      </c>
      <c r="Y501" s="618"/>
      <c r="Z501" s="617">
        <v>50</v>
      </c>
      <c r="AA501" s="361">
        <f t="shared" si="180"/>
        <v>42.74</v>
      </c>
      <c r="AB501" s="597"/>
      <c r="AC501" s="485">
        <f t="shared" si="181"/>
        <v>0</v>
      </c>
      <c r="AD501" s="597"/>
      <c r="AE501" s="485">
        <f t="shared" si="182"/>
        <v>0</v>
      </c>
      <c r="AF501" s="508">
        <f t="shared" si="183"/>
        <v>0</v>
      </c>
      <c r="AG501" s="508">
        <f t="shared" si="184"/>
        <v>0</v>
      </c>
      <c r="AH501" s="508">
        <f t="shared" si="185"/>
        <v>50</v>
      </c>
      <c r="AI501" s="508">
        <f t="shared" si="186"/>
        <v>0</v>
      </c>
      <c r="AJ501" s="508">
        <f t="shared" si="187"/>
        <v>7.26</v>
      </c>
      <c r="AK501" s="508">
        <f t="shared" si="191"/>
        <v>40</v>
      </c>
      <c r="AL501" s="116">
        <v>5</v>
      </c>
      <c r="AM501" s="486">
        <f t="shared" si="188"/>
        <v>6.76</v>
      </c>
      <c r="AN501" s="117">
        <f t="shared" si="192"/>
        <v>-2</v>
      </c>
      <c r="AO501" s="487">
        <f t="shared" si="189"/>
        <v>-42</v>
      </c>
      <c r="AP501" s="610"/>
    </row>
    <row r="502" spans="1:42" ht="14.25" customHeight="1">
      <c r="A502" s="701">
        <v>496</v>
      </c>
      <c r="B502" s="477"/>
      <c r="C502" s="477" t="s">
        <v>1514</v>
      </c>
      <c r="D502" s="477" t="s">
        <v>1416</v>
      </c>
      <c r="E502" s="475" t="s">
        <v>1515</v>
      </c>
      <c r="F502" s="477" t="s">
        <v>1516</v>
      </c>
      <c r="G502" s="482" t="s">
        <v>1943</v>
      </c>
      <c r="H502" s="482">
        <v>1</v>
      </c>
      <c r="I502" s="580">
        <v>40603</v>
      </c>
      <c r="J502" s="580">
        <v>40603</v>
      </c>
      <c r="K502" s="581">
        <v>1282.05</v>
      </c>
      <c r="L502" s="581">
        <v>0</v>
      </c>
      <c r="M502" s="582"/>
      <c r="N502" s="582"/>
      <c r="O502" s="582"/>
      <c r="P502" s="582">
        <f t="shared" si="176"/>
        <v>1282.05</v>
      </c>
      <c r="Q502" s="582">
        <f t="shared" si="177"/>
        <v>0</v>
      </c>
      <c r="R502" s="583">
        <f t="shared" si="178"/>
        <v>40</v>
      </c>
      <c r="S502" s="584"/>
      <c r="T502" s="584"/>
      <c r="U502" s="585">
        <f t="shared" si="190"/>
        <v>40</v>
      </c>
      <c r="V502" s="586" t="str">
        <f t="shared" si="179"/>
        <v/>
      </c>
      <c r="W502" s="477"/>
      <c r="X502" s="619">
        <f t="shared" si="193"/>
        <v>1500</v>
      </c>
      <c r="Y502" s="618"/>
      <c r="Z502" s="617">
        <v>50</v>
      </c>
      <c r="AA502" s="361">
        <f t="shared" si="180"/>
        <v>42.74</v>
      </c>
      <c r="AB502" s="597"/>
      <c r="AC502" s="485">
        <f t="shared" si="181"/>
        <v>0</v>
      </c>
      <c r="AD502" s="597"/>
      <c r="AE502" s="485">
        <f t="shared" si="182"/>
        <v>0</v>
      </c>
      <c r="AF502" s="508">
        <f t="shared" si="183"/>
        <v>0</v>
      </c>
      <c r="AG502" s="508">
        <f t="shared" si="184"/>
        <v>0</v>
      </c>
      <c r="AH502" s="508">
        <f t="shared" si="185"/>
        <v>50</v>
      </c>
      <c r="AI502" s="508">
        <f t="shared" si="186"/>
        <v>0</v>
      </c>
      <c r="AJ502" s="508">
        <f t="shared" si="187"/>
        <v>7.26</v>
      </c>
      <c r="AK502" s="508">
        <f t="shared" si="191"/>
        <v>40</v>
      </c>
      <c r="AL502" s="116">
        <v>5</v>
      </c>
      <c r="AM502" s="486">
        <f t="shared" si="188"/>
        <v>6.76</v>
      </c>
      <c r="AN502" s="117">
        <f t="shared" si="192"/>
        <v>-2</v>
      </c>
      <c r="AO502" s="487">
        <f t="shared" si="189"/>
        <v>-42</v>
      </c>
      <c r="AP502" s="610"/>
    </row>
    <row r="503" spans="1:42" ht="14.25" customHeight="1">
      <c r="A503" s="701">
        <v>497</v>
      </c>
      <c r="B503" s="477"/>
      <c r="C503" s="477" t="s">
        <v>1670</v>
      </c>
      <c r="D503" s="477" t="s">
        <v>1417</v>
      </c>
      <c r="E503" s="475" t="s">
        <v>1515</v>
      </c>
      <c r="F503" s="477" t="s">
        <v>1671</v>
      </c>
      <c r="G503" s="482" t="s">
        <v>1943</v>
      </c>
      <c r="H503" s="482">
        <v>1</v>
      </c>
      <c r="I503" s="580">
        <v>40634</v>
      </c>
      <c r="J503" s="580">
        <v>40634</v>
      </c>
      <c r="K503" s="581">
        <v>5726.5</v>
      </c>
      <c r="L503" s="581">
        <v>572.65</v>
      </c>
      <c r="M503" s="582"/>
      <c r="N503" s="582"/>
      <c r="O503" s="582"/>
      <c r="P503" s="582">
        <f t="shared" si="176"/>
        <v>5726.5</v>
      </c>
      <c r="Q503" s="582">
        <f t="shared" si="177"/>
        <v>572.65</v>
      </c>
      <c r="R503" s="583">
        <f t="shared" si="178"/>
        <v>100</v>
      </c>
      <c r="S503" s="584"/>
      <c r="T503" s="584"/>
      <c r="U503" s="585">
        <f>IF(S503="",R503,ROUND(R503*(S503-T503)/100,0))</f>
        <v>100</v>
      </c>
      <c r="V503" s="586">
        <f t="shared" si="179"/>
        <v>-82.54</v>
      </c>
      <c r="W503" s="477"/>
      <c r="X503" s="619">
        <f t="shared" si="193"/>
        <v>6700.01</v>
      </c>
      <c r="Y503" s="618"/>
      <c r="Z503" s="489">
        <v>100</v>
      </c>
      <c r="AA503" s="361">
        <f t="shared" si="180"/>
        <v>85.47</v>
      </c>
      <c r="AB503" s="597"/>
      <c r="AC503" s="485">
        <f t="shared" si="181"/>
        <v>0</v>
      </c>
      <c r="AD503" s="597"/>
      <c r="AE503" s="485">
        <f t="shared" si="182"/>
        <v>0</v>
      </c>
      <c r="AF503" s="508">
        <f t="shared" si="183"/>
        <v>0</v>
      </c>
      <c r="AG503" s="508">
        <f t="shared" si="184"/>
        <v>0</v>
      </c>
      <c r="AH503" s="508">
        <f t="shared" si="185"/>
        <v>100</v>
      </c>
      <c r="AI503" s="508">
        <f t="shared" si="186"/>
        <v>0</v>
      </c>
      <c r="AJ503" s="508">
        <f t="shared" si="187"/>
        <v>14.53</v>
      </c>
      <c r="AK503" s="508">
        <f>ROUND((Z503+AC503+AE503+AF503+AI503-AJ503)*H503,-2)</f>
        <v>100</v>
      </c>
      <c r="AL503" s="116">
        <v>5</v>
      </c>
      <c r="AM503" s="486">
        <f t="shared" si="188"/>
        <v>6.67</v>
      </c>
      <c r="AN503" s="117">
        <f t="shared" si="192"/>
        <v>-2</v>
      </c>
      <c r="AO503" s="487">
        <f t="shared" si="189"/>
        <v>-43</v>
      </c>
      <c r="AP503" s="610"/>
    </row>
    <row r="504" spans="1:42" ht="14.25" customHeight="1">
      <c r="A504" s="701">
        <v>498</v>
      </c>
      <c r="B504" s="477"/>
      <c r="C504" s="477" t="s">
        <v>1688</v>
      </c>
      <c r="D504" s="477" t="s">
        <v>1418</v>
      </c>
      <c r="E504" s="475" t="s">
        <v>1515</v>
      </c>
      <c r="F504" s="477"/>
      <c r="G504" s="482" t="s">
        <v>1943</v>
      </c>
      <c r="H504" s="482">
        <v>1</v>
      </c>
      <c r="I504" s="580">
        <v>40630</v>
      </c>
      <c r="J504" s="580">
        <v>40630</v>
      </c>
      <c r="K504" s="581">
        <v>12649.57</v>
      </c>
      <c r="L504" s="581">
        <v>0</v>
      </c>
      <c r="M504" s="582"/>
      <c r="N504" s="582"/>
      <c r="O504" s="582"/>
      <c r="P504" s="582">
        <f t="shared" si="176"/>
        <v>12649.57</v>
      </c>
      <c r="Q504" s="582">
        <f t="shared" si="177"/>
        <v>0</v>
      </c>
      <c r="R504" s="583">
        <f t="shared" si="178"/>
        <v>300</v>
      </c>
      <c r="S504" s="584"/>
      <c r="T504" s="584"/>
      <c r="U504" s="585">
        <f>IF(S504="",R504,ROUND(R504*(S504-T504)/100,0))</f>
        <v>300</v>
      </c>
      <c r="V504" s="586" t="str">
        <f t="shared" si="179"/>
        <v/>
      </c>
      <c r="W504" s="477"/>
      <c r="X504" s="619">
        <f t="shared" si="193"/>
        <v>14800</v>
      </c>
      <c r="Y504" s="618"/>
      <c r="Z504" s="617">
        <v>400</v>
      </c>
      <c r="AA504" s="361">
        <f t="shared" si="180"/>
        <v>341.88</v>
      </c>
      <c r="AB504" s="597"/>
      <c r="AC504" s="485">
        <f t="shared" si="181"/>
        <v>0</v>
      </c>
      <c r="AD504" s="597"/>
      <c r="AE504" s="485">
        <f t="shared" si="182"/>
        <v>0</v>
      </c>
      <c r="AF504" s="508">
        <f t="shared" si="183"/>
        <v>0</v>
      </c>
      <c r="AG504" s="508">
        <f t="shared" si="184"/>
        <v>0</v>
      </c>
      <c r="AH504" s="508">
        <f t="shared" si="185"/>
        <v>400</v>
      </c>
      <c r="AI504" s="508">
        <f t="shared" si="186"/>
        <v>0</v>
      </c>
      <c r="AJ504" s="508">
        <f t="shared" si="187"/>
        <v>58.12</v>
      </c>
      <c r="AK504" s="508">
        <f>ROUND((Z504+AC504+AE504+AF504+AI504-AJ504)*H504,-2)</f>
        <v>300</v>
      </c>
      <c r="AL504" s="116">
        <v>6</v>
      </c>
      <c r="AM504" s="486">
        <f t="shared" si="188"/>
        <v>6.68</v>
      </c>
      <c r="AN504" s="117">
        <f t="shared" si="192"/>
        <v>-1</v>
      </c>
      <c r="AO504" s="487">
        <f t="shared" si="189"/>
        <v>-18</v>
      </c>
      <c r="AP504" s="610"/>
    </row>
    <row r="505" spans="1:42" ht="14.25" customHeight="1">
      <c r="A505" s="701">
        <v>499</v>
      </c>
      <c r="B505" s="477"/>
      <c r="C505" s="611" t="s">
        <v>1793</v>
      </c>
      <c r="D505" s="477" t="s">
        <v>1425</v>
      </c>
      <c r="E505" s="475" t="s">
        <v>1460</v>
      </c>
      <c r="F505" s="477" t="s">
        <v>1461</v>
      </c>
      <c r="G505" s="482" t="s">
        <v>1943</v>
      </c>
      <c r="H505" s="482">
        <v>2</v>
      </c>
      <c r="I505" s="580">
        <v>41274</v>
      </c>
      <c r="J505" s="580">
        <v>41274</v>
      </c>
      <c r="K505" s="581">
        <v>5700</v>
      </c>
      <c r="L505" s="581">
        <v>0</v>
      </c>
      <c r="M505" s="582"/>
      <c r="N505" s="582"/>
      <c r="O505" s="582"/>
      <c r="P505" s="582">
        <f t="shared" si="176"/>
        <v>5700</v>
      </c>
      <c r="Q505" s="582">
        <f t="shared" si="177"/>
        <v>0</v>
      </c>
      <c r="R505" s="583">
        <f t="shared" si="178"/>
        <v>100</v>
      </c>
      <c r="S505" s="584"/>
      <c r="T505" s="584"/>
      <c r="U505" s="585">
        <f>IF(S505="",R505,ROUND(R505*S505/100,0))</f>
        <v>100</v>
      </c>
      <c r="V505" s="586" t="str">
        <f t="shared" si="179"/>
        <v/>
      </c>
      <c r="W505" s="477"/>
      <c r="X505" s="618">
        <f>P505/H505</f>
        <v>2850</v>
      </c>
      <c r="Y505" s="618"/>
      <c r="Z505" s="617">
        <v>60</v>
      </c>
      <c r="AA505" s="361">
        <f t="shared" si="180"/>
        <v>51.28</v>
      </c>
      <c r="AB505" s="597"/>
      <c r="AC505" s="485">
        <f t="shared" si="181"/>
        <v>0</v>
      </c>
      <c r="AD505" s="597"/>
      <c r="AE505" s="485">
        <f t="shared" si="182"/>
        <v>0</v>
      </c>
      <c r="AF505" s="508">
        <f t="shared" si="183"/>
        <v>0</v>
      </c>
      <c r="AG505" s="508">
        <f t="shared" si="184"/>
        <v>0</v>
      </c>
      <c r="AH505" s="508">
        <f t="shared" si="185"/>
        <v>60</v>
      </c>
      <c r="AI505" s="508">
        <f t="shared" si="186"/>
        <v>0</v>
      </c>
      <c r="AJ505" s="508">
        <f t="shared" si="187"/>
        <v>8.7200000000000006</v>
      </c>
      <c r="AK505" s="508">
        <f>ROUND((Z505+AC505+AE505+AF505+AI505-AJ505)*H505,-1)</f>
        <v>100</v>
      </c>
      <c r="AL505" s="116">
        <v>5</v>
      </c>
      <c r="AM505" s="486">
        <f t="shared" si="188"/>
        <v>4.92</v>
      </c>
      <c r="AN505" s="117">
        <f t="shared" si="192"/>
        <v>0</v>
      </c>
      <c r="AO505" s="487">
        <f t="shared" si="189"/>
        <v>0</v>
      </c>
      <c r="AP505" s="610"/>
    </row>
    <row r="506" spans="1:42" ht="14.25" customHeight="1">
      <c r="A506" s="701">
        <v>500</v>
      </c>
      <c r="B506" s="477"/>
      <c r="C506" s="477" t="s">
        <v>1473</v>
      </c>
      <c r="D506" s="477" t="s">
        <v>1419</v>
      </c>
      <c r="E506" s="475" t="s">
        <v>1460</v>
      </c>
      <c r="F506" s="611" t="s">
        <v>1428</v>
      </c>
      <c r="G506" s="482" t="s">
        <v>1945</v>
      </c>
      <c r="H506" s="482">
        <v>1</v>
      </c>
      <c r="I506" s="580">
        <v>41130</v>
      </c>
      <c r="J506" s="580">
        <v>41130</v>
      </c>
      <c r="K506" s="581">
        <v>56892.11</v>
      </c>
      <c r="L506" s="581">
        <v>4862.57</v>
      </c>
      <c r="M506" s="582"/>
      <c r="N506" s="582"/>
      <c r="O506" s="582"/>
      <c r="P506" s="582">
        <f t="shared" si="176"/>
        <v>56892.11</v>
      </c>
      <c r="Q506" s="582">
        <f t="shared" si="177"/>
        <v>4862.57</v>
      </c>
      <c r="R506" s="583">
        <f t="shared" si="178"/>
        <v>51300</v>
      </c>
      <c r="S506" s="668">
        <f>AP506</f>
        <v>10</v>
      </c>
      <c r="T506" s="584"/>
      <c r="U506" s="585">
        <f>IF(S506="",R506,ROUND(R506*S506/100,0))</f>
        <v>5130</v>
      </c>
      <c r="V506" s="586">
        <f t="shared" si="179"/>
        <v>5.5</v>
      </c>
      <c r="W506" s="477"/>
      <c r="X506" s="619">
        <f>P506*1.17/H506</f>
        <v>66563.77</v>
      </c>
      <c r="Y506" s="618"/>
      <c r="Z506" s="489">
        <v>60000</v>
      </c>
      <c r="AA506" s="361">
        <f t="shared" si="180"/>
        <v>51282.05</v>
      </c>
      <c r="AB506" s="597"/>
      <c r="AC506" s="485">
        <f t="shared" si="181"/>
        <v>0</v>
      </c>
      <c r="AD506" s="597"/>
      <c r="AE506" s="485">
        <f t="shared" si="182"/>
        <v>0</v>
      </c>
      <c r="AF506" s="508">
        <f t="shared" si="183"/>
        <v>0</v>
      </c>
      <c r="AG506" s="508">
        <f t="shared" si="184"/>
        <v>0</v>
      </c>
      <c r="AH506" s="508">
        <f t="shared" si="185"/>
        <v>60000</v>
      </c>
      <c r="AI506" s="508">
        <f t="shared" si="186"/>
        <v>0</v>
      </c>
      <c r="AJ506" s="508">
        <f t="shared" si="187"/>
        <v>8717.9500000000007</v>
      </c>
      <c r="AK506" s="508">
        <f>ROUND((Z506+AC506+AE506+AF506+AI506-AJ506)*H506,-2)</f>
        <v>51300</v>
      </c>
      <c r="AL506" s="116">
        <v>6</v>
      </c>
      <c r="AM506" s="486">
        <f t="shared" si="188"/>
        <v>5.31</v>
      </c>
      <c r="AN506" s="117">
        <f t="shared" si="192"/>
        <v>1</v>
      </c>
      <c r="AO506" s="487">
        <f t="shared" si="189"/>
        <v>16</v>
      </c>
      <c r="AP506" s="669">
        <v>10</v>
      </c>
    </row>
    <row r="507" spans="1:42" ht="14.25" customHeight="1">
      <c r="A507" s="673"/>
      <c r="B507" s="477"/>
      <c r="C507" s="477"/>
      <c r="D507" s="477"/>
      <c r="E507" s="475"/>
      <c r="F507" s="477"/>
      <c r="G507" s="482"/>
      <c r="H507" s="482"/>
      <c r="I507" s="580"/>
      <c r="J507" s="580"/>
      <c r="K507" s="581"/>
      <c r="L507" s="581"/>
      <c r="M507" s="582"/>
      <c r="N507" s="582"/>
      <c r="O507" s="582"/>
      <c r="P507" s="582"/>
      <c r="Q507" s="582"/>
      <c r="R507" s="583"/>
      <c r="S507" s="584"/>
      <c r="T507" s="584"/>
      <c r="U507" s="585"/>
      <c r="V507" s="586"/>
      <c r="W507" s="477"/>
      <c r="X507" s="488"/>
      <c r="Y507" s="488"/>
      <c r="Z507" s="489"/>
      <c r="AA507" s="607"/>
      <c r="AB507" s="597"/>
      <c r="AC507" s="607"/>
      <c r="AD507" s="597"/>
      <c r="AE507" s="607"/>
      <c r="AF507" s="607"/>
      <c r="AG507" s="607"/>
      <c r="AH507" s="607"/>
      <c r="AI507" s="607"/>
      <c r="AJ507" s="607"/>
      <c r="AK507" s="607"/>
      <c r="AM507" s="608"/>
      <c r="AN507" s="609"/>
      <c r="AO507" s="610"/>
      <c r="AP507" s="610"/>
    </row>
    <row r="508" spans="1:42" ht="14.25" customHeight="1">
      <c r="A508" s="701"/>
      <c r="B508" s="477"/>
      <c r="C508" s="477"/>
      <c r="D508" s="477"/>
      <c r="E508" s="475"/>
      <c r="F508" s="477"/>
      <c r="G508" s="482"/>
      <c r="H508" s="482"/>
      <c r="I508" s="580"/>
      <c r="J508" s="580"/>
      <c r="K508" s="581"/>
      <c r="L508" s="581"/>
      <c r="M508" s="582"/>
      <c r="N508" s="582"/>
      <c r="O508" s="582"/>
      <c r="P508" s="582"/>
      <c r="Q508" s="582"/>
      <c r="R508" s="583"/>
      <c r="S508" s="584"/>
      <c r="T508" s="584"/>
      <c r="U508" s="585"/>
      <c r="V508" s="586"/>
      <c r="W508" s="477"/>
      <c r="X508" s="488"/>
      <c r="Y508" s="488"/>
      <c r="Z508" s="489"/>
      <c r="AA508" s="607"/>
      <c r="AB508" s="597"/>
      <c r="AC508" s="607"/>
      <c r="AD508" s="597"/>
      <c r="AE508" s="607"/>
      <c r="AF508" s="607"/>
      <c r="AG508" s="607"/>
      <c r="AH508" s="607"/>
      <c r="AI508" s="607"/>
      <c r="AJ508" s="607"/>
      <c r="AK508" s="607"/>
      <c r="AM508" s="608"/>
      <c r="AN508" s="609"/>
      <c r="AO508" s="610"/>
      <c r="AP508" s="610"/>
    </row>
    <row r="509" spans="1:42" ht="14.25" customHeight="1">
      <c r="A509" s="699"/>
      <c r="B509" s="477"/>
      <c r="C509" s="477"/>
      <c r="D509" s="477"/>
      <c r="E509" s="475"/>
      <c r="F509" s="477"/>
      <c r="G509" s="482"/>
      <c r="H509" s="482"/>
      <c r="I509" s="580"/>
      <c r="J509" s="580"/>
      <c r="K509" s="581"/>
      <c r="L509" s="581"/>
      <c r="M509" s="582"/>
      <c r="N509" s="582"/>
      <c r="O509" s="582"/>
      <c r="P509" s="582"/>
      <c r="Q509" s="582"/>
      <c r="R509" s="583"/>
      <c r="S509" s="584"/>
      <c r="T509" s="584"/>
      <c r="U509" s="585"/>
      <c r="V509" s="586"/>
      <c r="W509" s="477"/>
      <c r="X509" s="488"/>
      <c r="Y509" s="488"/>
      <c r="Z509" s="489"/>
      <c r="AA509" s="607"/>
      <c r="AB509" s="597"/>
      <c r="AC509" s="607"/>
      <c r="AD509" s="597"/>
      <c r="AE509" s="607"/>
      <c r="AF509" s="607"/>
      <c r="AG509" s="607"/>
      <c r="AH509" s="607"/>
      <c r="AI509" s="607"/>
      <c r="AJ509" s="607"/>
      <c r="AK509" s="607"/>
      <c r="AM509" s="608"/>
      <c r="AN509" s="609"/>
      <c r="AO509" s="610"/>
      <c r="AP509" s="610"/>
    </row>
    <row r="510" spans="1:42" ht="14.25" customHeight="1">
      <c r="A510" s="968" t="s">
        <v>1789</v>
      </c>
      <c r="B510" s="968"/>
      <c r="C510" s="968"/>
      <c r="D510" s="604"/>
      <c r="E510" s="525"/>
      <c r="F510" s="604"/>
      <c r="G510" s="604"/>
      <c r="H510" s="604"/>
      <c r="I510" s="588"/>
      <c r="J510" s="588"/>
      <c r="K510" s="582">
        <f>SUM(K7:K509)</f>
        <v>48049311.409999996</v>
      </c>
      <c r="L510" s="582">
        <f>SUM(L7:L509)</f>
        <v>5387012.6799999997</v>
      </c>
      <c r="M510" s="582"/>
      <c r="N510" s="582"/>
      <c r="O510" s="582"/>
      <c r="P510" s="582">
        <f>SUM(P7:P509)</f>
        <v>48049311.409999996</v>
      </c>
      <c r="Q510" s="582">
        <f>SUM(Q7:Q509)</f>
        <v>5387012.6799999997</v>
      </c>
      <c r="R510" s="582">
        <f>SUM(R7:R509)</f>
        <v>18195200</v>
      </c>
      <c r="S510" s="584"/>
      <c r="T510" s="584"/>
      <c r="U510" s="582">
        <f>SUM(U7:U509)</f>
        <v>2366742</v>
      </c>
      <c r="V510" s="582">
        <f>IF(Q510=0,"",(U510-Q510)/Q510*100)</f>
        <v>-56.07</v>
      </c>
      <c r="W510" s="522"/>
      <c r="X510" s="490"/>
      <c r="Y510" s="490"/>
    </row>
    <row r="511" spans="1:42" ht="14.25" customHeight="1">
      <c r="A511" s="101" t="e">
        <f>#REF!&amp;#REF!</f>
        <v>#REF!</v>
      </c>
      <c r="P511" s="101" t="e">
        <f>"评估人员："&amp;#REF!</f>
        <v>#REF!</v>
      </c>
    </row>
    <row r="512" spans="1:42" ht="14.25" customHeight="1">
      <c r="A512" s="101" t="e">
        <f>CONCATENATE(#REF!,#REF!,#REF!,#REF!,#REF!,#REF!,#REF!)</f>
        <v>#REF!</v>
      </c>
    </row>
    <row r="513" spans="1:41" ht="15" customHeight="1">
      <c r="A513" s="101"/>
      <c r="Q513" s="106" t="s">
        <v>2352</v>
      </c>
      <c r="R513" s="469">
        <v>18174800</v>
      </c>
      <c r="S513" s="469"/>
      <c r="T513" s="469"/>
      <c r="U513" s="469">
        <v>2366748</v>
      </c>
    </row>
    <row r="514" spans="1:41" ht="15" hidden="1" customHeight="1" outlineLevel="1">
      <c r="A514" s="701">
        <v>252</v>
      </c>
      <c r="B514" s="477"/>
      <c r="C514" s="674" t="s">
        <v>2340</v>
      </c>
      <c r="D514" s="477"/>
      <c r="E514" s="475" t="s">
        <v>1453</v>
      </c>
      <c r="F514" s="477"/>
      <c r="G514" s="579" t="s">
        <v>1948</v>
      </c>
      <c r="H514" s="482">
        <v>1</v>
      </c>
      <c r="I514" s="580">
        <v>40544</v>
      </c>
      <c r="J514" s="580">
        <v>37681</v>
      </c>
      <c r="K514" s="581">
        <v>86400</v>
      </c>
      <c r="L514" s="581">
        <v>8950.43</v>
      </c>
      <c r="M514" s="582"/>
      <c r="N514" s="582"/>
      <c r="O514" s="582"/>
      <c r="P514" s="582">
        <f t="shared" ref="P514:P530" si="194">K514+N514</f>
        <v>86400</v>
      </c>
      <c r="Q514" s="582">
        <f t="shared" ref="Q514:Q530" si="195">L514+O514</f>
        <v>8950.43</v>
      </c>
      <c r="R514" s="583">
        <f t="shared" ref="R514:R528" si="196">AK514</f>
        <v>0</v>
      </c>
      <c r="S514" s="584"/>
      <c r="T514" s="584"/>
      <c r="U514" s="585">
        <f t="shared" ref="U514:U522" si="197">IF(S514="",R514,ROUND(R514*S514/100,0))</f>
        <v>0</v>
      </c>
      <c r="V514" s="586">
        <f t="shared" ref="V514:V530" si="198">IF(Q514=0,"",(U514-Q514)/Q514*100)</f>
        <v>-100</v>
      </c>
      <c r="W514" s="611" t="s">
        <v>1994</v>
      </c>
      <c r="X514" s="4" t="s">
        <v>2350</v>
      </c>
      <c r="Z514" s="624">
        <v>0</v>
      </c>
      <c r="AA514" s="361">
        <f t="shared" ref="AA514:AA528" si="199">Z514/1.17</f>
        <v>0</v>
      </c>
      <c r="AB514" s="597"/>
      <c r="AC514" s="485">
        <f t="shared" ref="AC514:AC528" si="200">Z514*AB514</f>
        <v>0</v>
      </c>
      <c r="AD514" s="597"/>
      <c r="AE514" s="485">
        <f t="shared" ref="AE514:AE528" si="201">Z514*AD514</f>
        <v>0</v>
      </c>
      <c r="AF514" s="508">
        <f t="shared" ref="AF514:AF528" si="202">(Z514+AC514+AE514)*AF$4</f>
        <v>0</v>
      </c>
      <c r="AG514" s="508">
        <f t="shared" ref="AG514:AG528" si="203">(Z514+AC514+AE514)*AG$4</f>
        <v>0</v>
      </c>
      <c r="AH514" s="508">
        <f t="shared" ref="AH514:AH528" si="204">Z514+AC514+AE514+AF514</f>
        <v>0</v>
      </c>
      <c r="AI514" s="508">
        <f t="shared" ref="AI514:AI528" si="205">AH514*AI$3*AI$4/2</f>
        <v>0</v>
      </c>
      <c r="AJ514" s="508">
        <f t="shared" ref="AJ514:AJ528" si="206">Z514*0.17/1.17+AC514*0.11/1.11+AE514*0.11/1.11+AF514-AG514</f>
        <v>0</v>
      </c>
      <c r="AK514" s="508">
        <f t="shared" ref="AK514:AK528" si="207">ROUND((Z514+AC514+AE514+AF514+AI514-AJ514)*H514,-2)</f>
        <v>0</v>
      </c>
      <c r="AM514" s="486">
        <f t="shared" ref="AM514:AM528" si="208">(AM$4-J514)/365</f>
        <v>14.76</v>
      </c>
      <c r="AN514" s="117">
        <f t="shared" ref="AN514:AN528" si="209">ROUND((AL514-AM514),0)</f>
        <v>-15</v>
      </c>
      <c r="AO514" s="487">
        <f t="shared" ref="AO514:AO528" si="210">AN514/(AM514+AN514)*100</f>
        <v>6250</v>
      </c>
    </row>
    <row r="515" spans="1:41" ht="15" hidden="1" customHeight="1" outlineLevel="1">
      <c r="A515" s="701">
        <v>253</v>
      </c>
      <c r="B515" s="477"/>
      <c r="C515" s="674" t="s">
        <v>2341</v>
      </c>
      <c r="D515" s="477"/>
      <c r="E515" s="475" t="s">
        <v>1453</v>
      </c>
      <c r="F515" s="477"/>
      <c r="G515" s="579" t="s">
        <v>1948</v>
      </c>
      <c r="H515" s="482">
        <v>1</v>
      </c>
      <c r="I515" s="580">
        <v>40544</v>
      </c>
      <c r="J515" s="580">
        <v>37681</v>
      </c>
      <c r="K515" s="581">
        <v>173040</v>
      </c>
      <c r="L515" s="581">
        <v>427.35</v>
      </c>
      <c r="M515" s="582"/>
      <c r="N515" s="582"/>
      <c r="O515" s="582"/>
      <c r="P515" s="582">
        <f t="shared" si="194"/>
        <v>173040</v>
      </c>
      <c r="Q515" s="582">
        <f t="shared" si="195"/>
        <v>427.35</v>
      </c>
      <c r="R515" s="583">
        <f t="shared" si="196"/>
        <v>0</v>
      </c>
      <c r="S515" s="584"/>
      <c r="T515" s="584"/>
      <c r="U515" s="585">
        <f t="shared" si="197"/>
        <v>0</v>
      </c>
      <c r="V515" s="586">
        <f t="shared" si="198"/>
        <v>-100</v>
      </c>
      <c r="W515" s="611" t="s">
        <v>1994</v>
      </c>
      <c r="X515" s="4" t="s">
        <v>2350</v>
      </c>
      <c r="Z515" s="624">
        <v>0</v>
      </c>
      <c r="AA515" s="361">
        <f t="shared" si="199"/>
        <v>0</v>
      </c>
      <c r="AB515" s="597"/>
      <c r="AC515" s="485">
        <f t="shared" si="200"/>
        <v>0</v>
      </c>
      <c r="AD515" s="597"/>
      <c r="AE515" s="485">
        <f t="shared" si="201"/>
        <v>0</v>
      </c>
      <c r="AF515" s="508">
        <f t="shared" si="202"/>
        <v>0</v>
      </c>
      <c r="AG515" s="508">
        <f t="shared" si="203"/>
        <v>0</v>
      </c>
      <c r="AH515" s="508">
        <f t="shared" si="204"/>
        <v>0</v>
      </c>
      <c r="AI515" s="508">
        <f t="shared" si="205"/>
        <v>0</v>
      </c>
      <c r="AJ515" s="508">
        <f t="shared" si="206"/>
        <v>0</v>
      </c>
      <c r="AK515" s="508">
        <f t="shared" si="207"/>
        <v>0</v>
      </c>
      <c r="AM515" s="486">
        <f t="shared" si="208"/>
        <v>14.76</v>
      </c>
      <c r="AN515" s="117">
        <f t="shared" si="209"/>
        <v>-15</v>
      </c>
      <c r="AO515" s="487">
        <f t="shared" si="210"/>
        <v>6250</v>
      </c>
    </row>
    <row r="516" spans="1:41" ht="15" hidden="1" customHeight="1" outlineLevel="1">
      <c r="A516" s="701">
        <v>254</v>
      </c>
      <c r="B516" s="477"/>
      <c r="C516" s="674" t="s">
        <v>2342</v>
      </c>
      <c r="D516" s="477"/>
      <c r="E516" s="475" t="s">
        <v>1453</v>
      </c>
      <c r="F516" s="477"/>
      <c r="G516" s="579" t="s">
        <v>1948</v>
      </c>
      <c r="H516" s="482">
        <v>1</v>
      </c>
      <c r="I516" s="580">
        <v>40544</v>
      </c>
      <c r="J516" s="580">
        <v>37681</v>
      </c>
      <c r="K516" s="581">
        <v>104805</v>
      </c>
      <c r="L516" s="581">
        <v>427.35</v>
      </c>
      <c r="M516" s="582"/>
      <c r="N516" s="582"/>
      <c r="O516" s="582"/>
      <c r="P516" s="582">
        <f t="shared" si="194"/>
        <v>104805</v>
      </c>
      <c r="Q516" s="582">
        <f t="shared" si="195"/>
        <v>427.35</v>
      </c>
      <c r="R516" s="583">
        <f t="shared" si="196"/>
        <v>0</v>
      </c>
      <c r="S516" s="584"/>
      <c r="T516" s="584"/>
      <c r="U516" s="585">
        <f t="shared" si="197"/>
        <v>0</v>
      </c>
      <c r="V516" s="586">
        <f t="shared" si="198"/>
        <v>-100</v>
      </c>
      <c r="W516" s="611" t="s">
        <v>1994</v>
      </c>
      <c r="X516" s="4" t="s">
        <v>2350</v>
      </c>
      <c r="Z516" s="624">
        <v>0</v>
      </c>
      <c r="AA516" s="361">
        <f t="shared" si="199"/>
        <v>0</v>
      </c>
      <c r="AB516" s="597"/>
      <c r="AC516" s="485">
        <f t="shared" si="200"/>
        <v>0</v>
      </c>
      <c r="AD516" s="597"/>
      <c r="AE516" s="485">
        <f t="shared" si="201"/>
        <v>0</v>
      </c>
      <c r="AF516" s="508">
        <f t="shared" si="202"/>
        <v>0</v>
      </c>
      <c r="AG516" s="508">
        <f t="shared" si="203"/>
        <v>0</v>
      </c>
      <c r="AH516" s="508">
        <f t="shared" si="204"/>
        <v>0</v>
      </c>
      <c r="AI516" s="508">
        <f t="shared" si="205"/>
        <v>0</v>
      </c>
      <c r="AJ516" s="508">
        <f t="shared" si="206"/>
        <v>0</v>
      </c>
      <c r="AK516" s="508">
        <f t="shared" si="207"/>
        <v>0</v>
      </c>
      <c r="AM516" s="486">
        <f t="shared" si="208"/>
        <v>14.76</v>
      </c>
      <c r="AN516" s="117">
        <f t="shared" si="209"/>
        <v>-15</v>
      </c>
      <c r="AO516" s="487">
        <f t="shared" si="210"/>
        <v>6250</v>
      </c>
    </row>
    <row r="517" spans="1:41" ht="15" hidden="1" customHeight="1" outlineLevel="1">
      <c r="A517" s="701">
        <v>390</v>
      </c>
      <c r="B517" s="477"/>
      <c r="C517" s="674" t="s">
        <v>2329</v>
      </c>
      <c r="D517" s="477"/>
      <c r="E517" s="475" t="s">
        <v>1453</v>
      </c>
      <c r="F517" s="477"/>
      <c r="G517" s="579" t="s">
        <v>1960</v>
      </c>
      <c r="H517" s="482">
        <v>0.48799999999999999</v>
      </c>
      <c r="I517" s="580"/>
      <c r="J517" s="580"/>
      <c r="K517" s="581">
        <v>88.84</v>
      </c>
      <c r="L517" s="581"/>
      <c r="M517" s="582"/>
      <c r="N517" s="582"/>
      <c r="O517" s="582"/>
      <c r="P517" s="582">
        <f t="shared" si="194"/>
        <v>88.84</v>
      </c>
      <c r="Q517" s="582">
        <f t="shared" si="195"/>
        <v>0</v>
      </c>
      <c r="R517" s="583">
        <f t="shared" si="196"/>
        <v>0</v>
      </c>
      <c r="S517" s="584"/>
      <c r="T517" s="584"/>
      <c r="U517" s="585">
        <f t="shared" si="197"/>
        <v>0</v>
      </c>
      <c r="V517" s="586" t="str">
        <f t="shared" si="198"/>
        <v/>
      </c>
      <c r="W517" s="611" t="s">
        <v>1994</v>
      </c>
      <c r="X517" s="4" t="s">
        <v>2350</v>
      </c>
      <c r="Z517" s="624">
        <v>0</v>
      </c>
      <c r="AA517" s="361">
        <f t="shared" si="199"/>
        <v>0</v>
      </c>
      <c r="AB517" s="597"/>
      <c r="AC517" s="485">
        <f t="shared" si="200"/>
        <v>0</v>
      </c>
      <c r="AD517" s="597"/>
      <c r="AE517" s="485">
        <f t="shared" si="201"/>
        <v>0</v>
      </c>
      <c r="AF517" s="508">
        <f t="shared" si="202"/>
        <v>0</v>
      </c>
      <c r="AG517" s="508">
        <f t="shared" si="203"/>
        <v>0</v>
      </c>
      <c r="AH517" s="508">
        <f t="shared" si="204"/>
        <v>0</v>
      </c>
      <c r="AI517" s="508">
        <f t="shared" si="205"/>
        <v>0</v>
      </c>
      <c r="AJ517" s="508">
        <f t="shared" si="206"/>
        <v>0</v>
      </c>
      <c r="AK517" s="508">
        <f t="shared" si="207"/>
        <v>0</v>
      </c>
      <c r="AM517" s="486">
        <f t="shared" si="208"/>
        <v>118</v>
      </c>
      <c r="AN517" s="117">
        <f t="shared" si="209"/>
        <v>-118</v>
      </c>
      <c r="AO517" s="487" t="e">
        <f t="shared" si="210"/>
        <v>#DIV/0!</v>
      </c>
    </row>
    <row r="518" spans="1:41" ht="15" hidden="1" customHeight="1" outlineLevel="1">
      <c r="A518" s="701">
        <v>391</v>
      </c>
      <c r="B518" s="477"/>
      <c r="C518" s="674" t="s">
        <v>2330</v>
      </c>
      <c r="D518" s="477"/>
      <c r="E518" s="475" t="s">
        <v>1453</v>
      </c>
      <c r="F518" s="477"/>
      <c r="G518" s="579" t="s">
        <v>1959</v>
      </c>
      <c r="H518" s="482">
        <v>86</v>
      </c>
      <c r="I518" s="580"/>
      <c r="J518" s="580"/>
      <c r="K518" s="581">
        <v>2719.66</v>
      </c>
      <c r="L518" s="581"/>
      <c r="M518" s="582"/>
      <c r="N518" s="582"/>
      <c r="O518" s="582"/>
      <c r="P518" s="582">
        <f t="shared" si="194"/>
        <v>2719.66</v>
      </c>
      <c r="Q518" s="582">
        <f t="shared" si="195"/>
        <v>0</v>
      </c>
      <c r="R518" s="583">
        <f t="shared" si="196"/>
        <v>0</v>
      </c>
      <c r="S518" s="584"/>
      <c r="T518" s="584"/>
      <c r="U518" s="585">
        <f t="shared" si="197"/>
        <v>0</v>
      </c>
      <c r="V518" s="586" t="str">
        <f t="shared" si="198"/>
        <v/>
      </c>
      <c r="W518" s="611" t="s">
        <v>1994</v>
      </c>
      <c r="X518" s="4" t="s">
        <v>2350</v>
      </c>
      <c r="Z518" s="624">
        <v>0</v>
      </c>
      <c r="AA518" s="361">
        <f t="shared" si="199"/>
        <v>0</v>
      </c>
      <c r="AB518" s="597"/>
      <c r="AC518" s="485">
        <f t="shared" si="200"/>
        <v>0</v>
      </c>
      <c r="AD518" s="597"/>
      <c r="AE518" s="485">
        <f t="shared" si="201"/>
        <v>0</v>
      </c>
      <c r="AF518" s="508">
        <f t="shared" si="202"/>
        <v>0</v>
      </c>
      <c r="AG518" s="508">
        <f t="shared" si="203"/>
        <v>0</v>
      </c>
      <c r="AH518" s="508">
        <f t="shared" si="204"/>
        <v>0</v>
      </c>
      <c r="AI518" s="508">
        <f t="shared" si="205"/>
        <v>0</v>
      </c>
      <c r="AJ518" s="508">
        <f t="shared" si="206"/>
        <v>0</v>
      </c>
      <c r="AK518" s="508">
        <f t="shared" si="207"/>
        <v>0</v>
      </c>
      <c r="AM518" s="486">
        <f t="shared" si="208"/>
        <v>118</v>
      </c>
      <c r="AN518" s="117">
        <f t="shared" si="209"/>
        <v>-118</v>
      </c>
      <c r="AO518" s="487" t="e">
        <f t="shared" si="210"/>
        <v>#DIV/0!</v>
      </c>
    </row>
    <row r="519" spans="1:41" ht="15" hidden="1" customHeight="1" outlineLevel="1">
      <c r="A519" s="701">
        <v>392</v>
      </c>
      <c r="B519" s="477"/>
      <c r="C519" s="674" t="s">
        <v>2331</v>
      </c>
      <c r="D519" s="477"/>
      <c r="E519" s="475" t="s">
        <v>1453</v>
      </c>
      <c r="F519" s="477"/>
      <c r="G519" s="482" t="s">
        <v>1960</v>
      </c>
      <c r="H519" s="482">
        <v>4.6760000000000002</v>
      </c>
      <c r="I519" s="580"/>
      <c r="J519" s="580"/>
      <c r="K519" s="581">
        <v>375.68</v>
      </c>
      <c r="L519" s="581"/>
      <c r="M519" s="582"/>
      <c r="N519" s="582"/>
      <c r="O519" s="582"/>
      <c r="P519" s="582">
        <f t="shared" si="194"/>
        <v>375.68</v>
      </c>
      <c r="Q519" s="582">
        <f t="shared" si="195"/>
        <v>0</v>
      </c>
      <c r="R519" s="583">
        <f t="shared" si="196"/>
        <v>0</v>
      </c>
      <c r="S519" s="584"/>
      <c r="T519" s="584"/>
      <c r="U519" s="585">
        <f t="shared" si="197"/>
        <v>0</v>
      </c>
      <c r="V519" s="586" t="str">
        <f t="shared" si="198"/>
        <v/>
      </c>
      <c r="W519" s="611" t="s">
        <v>1994</v>
      </c>
      <c r="X519" s="4" t="s">
        <v>2350</v>
      </c>
      <c r="Z519" s="624">
        <v>0</v>
      </c>
      <c r="AA519" s="361">
        <f t="shared" si="199"/>
        <v>0</v>
      </c>
      <c r="AB519" s="597"/>
      <c r="AC519" s="485">
        <f t="shared" si="200"/>
        <v>0</v>
      </c>
      <c r="AD519" s="597"/>
      <c r="AE519" s="485">
        <f t="shared" si="201"/>
        <v>0</v>
      </c>
      <c r="AF519" s="508">
        <f t="shared" si="202"/>
        <v>0</v>
      </c>
      <c r="AG519" s="508">
        <f t="shared" si="203"/>
        <v>0</v>
      </c>
      <c r="AH519" s="508">
        <f t="shared" si="204"/>
        <v>0</v>
      </c>
      <c r="AI519" s="508">
        <f t="shared" si="205"/>
        <v>0</v>
      </c>
      <c r="AJ519" s="508">
        <f t="shared" si="206"/>
        <v>0</v>
      </c>
      <c r="AK519" s="508">
        <f t="shared" si="207"/>
        <v>0</v>
      </c>
      <c r="AM519" s="486">
        <f t="shared" si="208"/>
        <v>118</v>
      </c>
      <c r="AN519" s="117">
        <f t="shared" si="209"/>
        <v>-118</v>
      </c>
      <c r="AO519" s="487" t="e">
        <f t="shared" si="210"/>
        <v>#DIV/0!</v>
      </c>
    </row>
    <row r="520" spans="1:41" ht="15" hidden="1" customHeight="1" outlineLevel="1">
      <c r="A520" s="701">
        <v>393</v>
      </c>
      <c r="B520" s="477"/>
      <c r="C520" s="674" t="s">
        <v>2332</v>
      </c>
      <c r="D520" s="477"/>
      <c r="E520" s="475" t="s">
        <v>1453</v>
      </c>
      <c r="F520" s="477"/>
      <c r="G520" s="482" t="s">
        <v>1009</v>
      </c>
      <c r="H520" s="482">
        <v>2.59</v>
      </c>
      <c r="I520" s="580"/>
      <c r="J520" s="580"/>
      <c r="K520" s="581">
        <v>1427.91</v>
      </c>
      <c r="L520" s="581">
        <v>1427.91</v>
      </c>
      <c r="M520" s="582"/>
      <c r="N520" s="582"/>
      <c r="O520" s="582"/>
      <c r="P520" s="582">
        <f t="shared" si="194"/>
        <v>1427.91</v>
      </c>
      <c r="Q520" s="582">
        <f t="shared" si="195"/>
        <v>1427.91</v>
      </c>
      <c r="R520" s="583">
        <f t="shared" si="196"/>
        <v>0</v>
      </c>
      <c r="S520" s="584"/>
      <c r="T520" s="584"/>
      <c r="U520" s="585">
        <f t="shared" si="197"/>
        <v>0</v>
      </c>
      <c r="V520" s="586">
        <f t="shared" si="198"/>
        <v>-100</v>
      </c>
      <c r="W520" s="611" t="s">
        <v>2075</v>
      </c>
      <c r="X520" s="4" t="s">
        <v>2350</v>
      </c>
      <c r="Z520" s="617">
        <v>0</v>
      </c>
      <c r="AA520" s="361">
        <f t="shared" si="199"/>
        <v>0</v>
      </c>
      <c r="AB520" s="597"/>
      <c r="AC520" s="485">
        <f t="shared" si="200"/>
        <v>0</v>
      </c>
      <c r="AD520" s="597"/>
      <c r="AE520" s="485">
        <f t="shared" si="201"/>
        <v>0</v>
      </c>
      <c r="AF520" s="508">
        <f t="shared" si="202"/>
        <v>0</v>
      </c>
      <c r="AG520" s="508">
        <f t="shared" si="203"/>
        <v>0</v>
      </c>
      <c r="AH520" s="508">
        <f t="shared" si="204"/>
        <v>0</v>
      </c>
      <c r="AI520" s="508">
        <f t="shared" si="205"/>
        <v>0</v>
      </c>
      <c r="AJ520" s="508">
        <f t="shared" si="206"/>
        <v>0</v>
      </c>
      <c r="AK520" s="508">
        <f t="shared" si="207"/>
        <v>0</v>
      </c>
      <c r="AM520" s="486">
        <f t="shared" si="208"/>
        <v>118</v>
      </c>
      <c r="AN520" s="117">
        <f t="shared" si="209"/>
        <v>-118</v>
      </c>
      <c r="AO520" s="487" t="e">
        <f t="shared" si="210"/>
        <v>#DIV/0!</v>
      </c>
    </row>
    <row r="521" spans="1:41" ht="15" hidden="1" customHeight="1" outlineLevel="1">
      <c r="A521" s="701">
        <v>394</v>
      </c>
      <c r="B521" s="477"/>
      <c r="C521" s="683" t="s">
        <v>2333</v>
      </c>
      <c r="D521" s="477" t="s">
        <v>1874</v>
      </c>
      <c r="E521" s="475" t="s">
        <v>1453</v>
      </c>
      <c r="F521" s="477"/>
      <c r="G521" s="482" t="s">
        <v>1947</v>
      </c>
      <c r="H521" s="482">
        <v>25</v>
      </c>
      <c r="I521" s="580"/>
      <c r="J521" s="580"/>
      <c r="K521" s="581">
        <v>1303.42</v>
      </c>
      <c r="L521" s="581">
        <v>1303.42</v>
      </c>
      <c r="M521" s="582"/>
      <c r="N521" s="582"/>
      <c r="O521" s="582"/>
      <c r="P521" s="582">
        <f t="shared" si="194"/>
        <v>1303.42</v>
      </c>
      <c r="Q521" s="582">
        <f t="shared" si="195"/>
        <v>1303.42</v>
      </c>
      <c r="R521" s="583">
        <f t="shared" si="196"/>
        <v>0</v>
      </c>
      <c r="S521" s="584"/>
      <c r="T521" s="584"/>
      <c r="U521" s="585">
        <f t="shared" si="197"/>
        <v>0</v>
      </c>
      <c r="V521" s="586">
        <f t="shared" si="198"/>
        <v>-100</v>
      </c>
      <c r="W521" s="611" t="s">
        <v>1994</v>
      </c>
      <c r="X521" s="4" t="s">
        <v>2350</v>
      </c>
      <c r="Z521" s="624">
        <v>0</v>
      </c>
      <c r="AA521" s="361">
        <f t="shared" si="199"/>
        <v>0</v>
      </c>
      <c r="AB521" s="597"/>
      <c r="AC521" s="485">
        <f t="shared" si="200"/>
        <v>0</v>
      </c>
      <c r="AD521" s="597"/>
      <c r="AE521" s="485">
        <f t="shared" si="201"/>
        <v>0</v>
      </c>
      <c r="AF521" s="508">
        <f t="shared" si="202"/>
        <v>0</v>
      </c>
      <c r="AG521" s="508">
        <f t="shared" si="203"/>
        <v>0</v>
      </c>
      <c r="AH521" s="508">
        <f t="shared" si="204"/>
        <v>0</v>
      </c>
      <c r="AI521" s="508">
        <f t="shared" si="205"/>
        <v>0</v>
      </c>
      <c r="AJ521" s="508">
        <f t="shared" si="206"/>
        <v>0</v>
      </c>
      <c r="AK521" s="508">
        <f t="shared" si="207"/>
        <v>0</v>
      </c>
      <c r="AM521" s="486">
        <f t="shared" si="208"/>
        <v>118</v>
      </c>
      <c r="AN521" s="117">
        <f t="shared" si="209"/>
        <v>-118</v>
      </c>
      <c r="AO521" s="487" t="e">
        <f t="shared" si="210"/>
        <v>#DIV/0!</v>
      </c>
    </row>
    <row r="522" spans="1:41" ht="15" hidden="1" customHeight="1" outlineLevel="1">
      <c r="A522" s="701">
        <v>395</v>
      </c>
      <c r="B522" s="477"/>
      <c r="C522" s="683" t="s">
        <v>2334</v>
      </c>
      <c r="D522" s="477" t="s">
        <v>1873</v>
      </c>
      <c r="E522" s="475" t="s">
        <v>1453</v>
      </c>
      <c r="F522" s="477"/>
      <c r="G522" s="482" t="s">
        <v>1955</v>
      </c>
      <c r="H522" s="482">
        <v>1402</v>
      </c>
      <c r="I522" s="580"/>
      <c r="J522" s="580"/>
      <c r="K522" s="581">
        <v>6558.24</v>
      </c>
      <c r="L522" s="581">
        <v>6558.24</v>
      </c>
      <c r="M522" s="582"/>
      <c r="N522" s="582"/>
      <c r="O522" s="582"/>
      <c r="P522" s="582">
        <f t="shared" si="194"/>
        <v>6558.24</v>
      </c>
      <c r="Q522" s="582">
        <f t="shared" si="195"/>
        <v>6558.24</v>
      </c>
      <c r="R522" s="583">
        <f t="shared" si="196"/>
        <v>0</v>
      </c>
      <c r="S522" s="584"/>
      <c r="T522" s="584"/>
      <c r="U522" s="585">
        <f t="shared" si="197"/>
        <v>0</v>
      </c>
      <c r="V522" s="586">
        <f t="shared" si="198"/>
        <v>-100</v>
      </c>
      <c r="W522" s="611" t="s">
        <v>1994</v>
      </c>
      <c r="X522" s="4" t="s">
        <v>2350</v>
      </c>
      <c r="Z522" s="624">
        <v>0</v>
      </c>
      <c r="AA522" s="361">
        <f t="shared" si="199"/>
        <v>0</v>
      </c>
      <c r="AB522" s="597"/>
      <c r="AC522" s="485">
        <f t="shared" si="200"/>
        <v>0</v>
      </c>
      <c r="AD522" s="597"/>
      <c r="AE522" s="485">
        <f t="shared" si="201"/>
        <v>0</v>
      </c>
      <c r="AF522" s="508">
        <f t="shared" si="202"/>
        <v>0</v>
      </c>
      <c r="AG522" s="508">
        <f t="shared" si="203"/>
        <v>0</v>
      </c>
      <c r="AH522" s="508">
        <f t="shared" si="204"/>
        <v>0</v>
      </c>
      <c r="AI522" s="508">
        <f t="shared" si="205"/>
        <v>0</v>
      </c>
      <c r="AJ522" s="508">
        <f t="shared" si="206"/>
        <v>0</v>
      </c>
      <c r="AK522" s="508">
        <f t="shared" si="207"/>
        <v>0</v>
      </c>
      <c r="AM522" s="486">
        <f t="shared" si="208"/>
        <v>118</v>
      </c>
      <c r="AN522" s="117">
        <f t="shared" si="209"/>
        <v>-118</v>
      </c>
      <c r="AO522" s="487" t="e">
        <f t="shared" si="210"/>
        <v>#DIV/0!</v>
      </c>
    </row>
    <row r="523" spans="1:41" ht="15" hidden="1" customHeight="1" outlineLevel="1">
      <c r="A523" s="701">
        <v>396</v>
      </c>
      <c r="B523" s="477"/>
      <c r="C523" s="683" t="s">
        <v>2335</v>
      </c>
      <c r="D523" s="477">
        <v>65</v>
      </c>
      <c r="E523" s="475" t="s">
        <v>1453</v>
      </c>
      <c r="F523" s="477" t="s">
        <v>1476</v>
      </c>
      <c r="G523" s="482" t="s">
        <v>2045</v>
      </c>
      <c r="H523" s="482">
        <v>66</v>
      </c>
      <c r="I523" s="580"/>
      <c r="J523" s="580"/>
      <c r="K523" s="581">
        <v>1650</v>
      </c>
      <c r="L523" s="581">
        <v>1650</v>
      </c>
      <c r="M523" s="582"/>
      <c r="N523" s="582"/>
      <c r="O523" s="582"/>
      <c r="P523" s="582">
        <f t="shared" si="194"/>
        <v>1650</v>
      </c>
      <c r="Q523" s="582">
        <f t="shared" si="195"/>
        <v>1650</v>
      </c>
      <c r="R523" s="583">
        <f t="shared" si="196"/>
        <v>1400</v>
      </c>
      <c r="S523" s="628"/>
      <c r="T523" s="584"/>
      <c r="U523" s="585">
        <f>R523</f>
        <v>1400</v>
      </c>
      <c r="V523" s="586">
        <f t="shared" si="198"/>
        <v>-15.15</v>
      </c>
      <c r="W523" s="611"/>
      <c r="X523" s="4" t="s">
        <v>2350</v>
      </c>
      <c r="Z523" s="489">
        <v>25</v>
      </c>
      <c r="AA523" s="361">
        <f t="shared" si="199"/>
        <v>21.37</v>
      </c>
      <c r="AB523" s="597"/>
      <c r="AC523" s="485">
        <f t="shared" si="200"/>
        <v>0</v>
      </c>
      <c r="AD523" s="597"/>
      <c r="AE523" s="485">
        <f t="shared" si="201"/>
        <v>0</v>
      </c>
      <c r="AF523" s="508">
        <f t="shared" si="202"/>
        <v>0</v>
      </c>
      <c r="AG523" s="508">
        <f t="shared" si="203"/>
        <v>0</v>
      </c>
      <c r="AH523" s="508">
        <f t="shared" si="204"/>
        <v>25</v>
      </c>
      <c r="AI523" s="508">
        <f t="shared" si="205"/>
        <v>0</v>
      </c>
      <c r="AJ523" s="508">
        <f t="shared" si="206"/>
        <v>3.63</v>
      </c>
      <c r="AK523" s="508">
        <f t="shared" si="207"/>
        <v>1400</v>
      </c>
      <c r="AM523" s="486">
        <f t="shared" si="208"/>
        <v>118</v>
      </c>
      <c r="AN523" s="117">
        <f t="shared" si="209"/>
        <v>-118</v>
      </c>
      <c r="AO523" s="487" t="e">
        <f t="shared" si="210"/>
        <v>#DIV/0!</v>
      </c>
    </row>
    <row r="524" spans="1:41" ht="15" hidden="1" customHeight="1" outlineLevel="1">
      <c r="A524" s="701">
        <v>397</v>
      </c>
      <c r="B524" s="477"/>
      <c r="C524" s="683" t="s">
        <v>2336</v>
      </c>
      <c r="D524" s="477" t="s">
        <v>1815</v>
      </c>
      <c r="E524" s="475" t="s">
        <v>2042</v>
      </c>
      <c r="F524" s="477" t="s">
        <v>2043</v>
      </c>
      <c r="G524" s="482" t="s">
        <v>2044</v>
      </c>
      <c r="H524" s="482">
        <v>2.5</v>
      </c>
      <c r="I524" s="580"/>
      <c r="J524" s="580"/>
      <c r="K524" s="581">
        <v>175</v>
      </c>
      <c r="L524" s="581">
        <v>175</v>
      </c>
      <c r="M524" s="582"/>
      <c r="N524" s="582"/>
      <c r="O524" s="582"/>
      <c r="P524" s="582">
        <f t="shared" si="194"/>
        <v>175</v>
      </c>
      <c r="Q524" s="582">
        <f t="shared" si="195"/>
        <v>175</v>
      </c>
      <c r="R524" s="583">
        <f t="shared" si="196"/>
        <v>100</v>
      </c>
      <c r="S524" s="628"/>
      <c r="T524" s="584"/>
      <c r="U524" s="585">
        <f>R524</f>
        <v>100</v>
      </c>
      <c r="V524" s="586">
        <f t="shared" si="198"/>
        <v>-42.86</v>
      </c>
      <c r="W524" s="611"/>
      <c r="X524" s="4" t="s">
        <v>2350</v>
      </c>
      <c r="Y524" s="629">
        <f>7.85*1.5/1000</f>
        <v>1.1780000000000001E-2</v>
      </c>
      <c r="Z524" s="630">
        <f>Y524*4800</f>
        <v>56.54</v>
      </c>
      <c r="AA524" s="361">
        <f t="shared" si="199"/>
        <v>48.32</v>
      </c>
      <c r="AB524" s="597"/>
      <c r="AC524" s="485">
        <f t="shared" si="200"/>
        <v>0</v>
      </c>
      <c r="AD524" s="597"/>
      <c r="AE524" s="485">
        <f t="shared" si="201"/>
        <v>0</v>
      </c>
      <c r="AF524" s="508">
        <f t="shared" si="202"/>
        <v>0</v>
      </c>
      <c r="AG524" s="508">
        <f t="shared" si="203"/>
        <v>0</v>
      </c>
      <c r="AH524" s="508">
        <f t="shared" si="204"/>
        <v>56.54</v>
      </c>
      <c r="AI524" s="508">
        <f t="shared" si="205"/>
        <v>0</v>
      </c>
      <c r="AJ524" s="508">
        <f t="shared" si="206"/>
        <v>8.2200000000000006</v>
      </c>
      <c r="AK524" s="508">
        <f t="shared" si="207"/>
        <v>100</v>
      </c>
      <c r="AM524" s="486">
        <f t="shared" si="208"/>
        <v>118</v>
      </c>
      <c r="AN524" s="117">
        <f t="shared" si="209"/>
        <v>-118</v>
      </c>
      <c r="AO524" s="487" t="e">
        <f t="shared" si="210"/>
        <v>#DIV/0!</v>
      </c>
    </row>
    <row r="525" spans="1:41" ht="15" hidden="1" customHeight="1" outlineLevel="1">
      <c r="A525" s="701">
        <v>398</v>
      </c>
      <c r="B525" s="477"/>
      <c r="C525" s="683" t="s">
        <v>2337</v>
      </c>
      <c r="D525" s="477" t="s">
        <v>1806</v>
      </c>
      <c r="E525" s="475" t="s">
        <v>1453</v>
      </c>
      <c r="F525" s="477" t="s">
        <v>1476</v>
      </c>
      <c r="G525" s="482" t="s">
        <v>2045</v>
      </c>
      <c r="H525" s="482">
        <v>24</v>
      </c>
      <c r="I525" s="580"/>
      <c r="J525" s="580"/>
      <c r="K525" s="581">
        <v>246.15</v>
      </c>
      <c r="L525" s="581">
        <v>246.15</v>
      </c>
      <c r="M525" s="582"/>
      <c r="N525" s="582"/>
      <c r="O525" s="582"/>
      <c r="P525" s="582">
        <f t="shared" si="194"/>
        <v>246.15</v>
      </c>
      <c r="Q525" s="582">
        <f t="shared" si="195"/>
        <v>246.15</v>
      </c>
      <c r="R525" s="583">
        <f t="shared" si="196"/>
        <v>200</v>
      </c>
      <c r="S525" s="628"/>
      <c r="T525" s="584"/>
      <c r="U525" s="585">
        <f>R525</f>
        <v>200</v>
      </c>
      <c r="V525" s="586">
        <f t="shared" si="198"/>
        <v>-18.75</v>
      </c>
      <c r="W525" s="611"/>
      <c r="X525" s="4" t="s">
        <v>2350</v>
      </c>
      <c r="Y525" s="618"/>
      <c r="Z525" s="489">
        <v>10</v>
      </c>
      <c r="AA525" s="361">
        <f t="shared" si="199"/>
        <v>8.5500000000000007</v>
      </c>
      <c r="AB525" s="597"/>
      <c r="AC525" s="485">
        <f t="shared" si="200"/>
        <v>0</v>
      </c>
      <c r="AD525" s="597"/>
      <c r="AE525" s="485">
        <f t="shared" si="201"/>
        <v>0</v>
      </c>
      <c r="AF525" s="508">
        <f t="shared" si="202"/>
        <v>0</v>
      </c>
      <c r="AG525" s="508">
        <f t="shared" si="203"/>
        <v>0</v>
      </c>
      <c r="AH525" s="508">
        <f t="shared" si="204"/>
        <v>10</v>
      </c>
      <c r="AI525" s="508">
        <f t="shared" si="205"/>
        <v>0</v>
      </c>
      <c r="AJ525" s="508">
        <f t="shared" si="206"/>
        <v>1.45</v>
      </c>
      <c r="AK525" s="508">
        <f t="shared" si="207"/>
        <v>200</v>
      </c>
      <c r="AM525" s="486">
        <f t="shared" si="208"/>
        <v>118</v>
      </c>
      <c r="AN525" s="117">
        <f t="shared" si="209"/>
        <v>-118</v>
      </c>
      <c r="AO525" s="487" t="e">
        <f t="shared" si="210"/>
        <v>#DIV/0!</v>
      </c>
    </row>
    <row r="526" spans="1:41" ht="15" hidden="1" customHeight="1" outlineLevel="1">
      <c r="A526" s="701">
        <v>399</v>
      </c>
      <c r="B526" s="477"/>
      <c r="C526" s="683" t="s">
        <v>2338</v>
      </c>
      <c r="D526" s="477" t="s">
        <v>1900</v>
      </c>
      <c r="E526" s="475" t="s">
        <v>1453</v>
      </c>
      <c r="F526" s="477" t="s">
        <v>1476</v>
      </c>
      <c r="G526" s="482" t="s">
        <v>2044</v>
      </c>
      <c r="H526" s="482">
        <v>2.976</v>
      </c>
      <c r="I526" s="580"/>
      <c r="J526" s="580"/>
      <c r="K526" s="581">
        <v>811.67</v>
      </c>
      <c r="L526" s="581">
        <v>811.67</v>
      </c>
      <c r="M526" s="582"/>
      <c r="N526" s="582"/>
      <c r="O526" s="582"/>
      <c r="P526" s="582">
        <f t="shared" si="194"/>
        <v>811.67</v>
      </c>
      <c r="Q526" s="582">
        <f t="shared" si="195"/>
        <v>811.67</v>
      </c>
      <c r="R526" s="583">
        <f t="shared" si="196"/>
        <v>500</v>
      </c>
      <c r="S526" s="628"/>
      <c r="T526" s="584"/>
      <c r="U526" s="585">
        <f>R526</f>
        <v>500</v>
      </c>
      <c r="V526" s="586">
        <f t="shared" si="198"/>
        <v>-38.4</v>
      </c>
      <c r="W526" s="611"/>
      <c r="X526" s="4" t="s">
        <v>2350</v>
      </c>
      <c r="Y526" s="629">
        <f>7.85*2/1000</f>
        <v>1.5699999999999999E-2</v>
      </c>
      <c r="Z526" s="489">
        <f>Y526*12000</f>
        <v>188.4</v>
      </c>
      <c r="AA526" s="361">
        <f t="shared" si="199"/>
        <v>161.03</v>
      </c>
      <c r="AB526" s="597"/>
      <c r="AC526" s="485">
        <f t="shared" si="200"/>
        <v>0</v>
      </c>
      <c r="AD526" s="597"/>
      <c r="AE526" s="485">
        <f t="shared" si="201"/>
        <v>0</v>
      </c>
      <c r="AF526" s="508">
        <f t="shared" si="202"/>
        <v>0</v>
      </c>
      <c r="AG526" s="508">
        <f t="shared" si="203"/>
        <v>0</v>
      </c>
      <c r="AH526" s="508">
        <f t="shared" si="204"/>
        <v>188.4</v>
      </c>
      <c r="AI526" s="508">
        <f t="shared" si="205"/>
        <v>0</v>
      </c>
      <c r="AJ526" s="508">
        <f t="shared" si="206"/>
        <v>27.37</v>
      </c>
      <c r="AK526" s="508">
        <f t="shared" si="207"/>
        <v>500</v>
      </c>
      <c r="AM526" s="486">
        <f t="shared" si="208"/>
        <v>118</v>
      </c>
      <c r="AN526" s="117">
        <f t="shared" si="209"/>
        <v>-118</v>
      </c>
      <c r="AO526" s="487" t="e">
        <f t="shared" si="210"/>
        <v>#DIV/0!</v>
      </c>
    </row>
    <row r="527" spans="1:41" ht="15" hidden="1" customHeight="1" outlineLevel="1">
      <c r="A527" s="701">
        <v>400</v>
      </c>
      <c r="B527" s="477"/>
      <c r="C527" s="683" t="s">
        <v>2339</v>
      </c>
      <c r="D527" s="477" t="s">
        <v>1901</v>
      </c>
      <c r="E527" s="475" t="s">
        <v>1453</v>
      </c>
      <c r="F527" s="477" t="s">
        <v>1476</v>
      </c>
      <c r="G527" s="482" t="s">
        <v>2045</v>
      </c>
      <c r="H527" s="482">
        <v>10</v>
      </c>
      <c r="I527" s="580"/>
      <c r="J527" s="580"/>
      <c r="K527" s="581">
        <v>2564.1</v>
      </c>
      <c r="L527" s="581">
        <v>2564.1</v>
      </c>
      <c r="M527" s="582"/>
      <c r="N527" s="582"/>
      <c r="O527" s="582"/>
      <c r="P527" s="582">
        <f t="shared" si="194"/>
        <v>2564.1</v>
      </c>
      <c r="Q527" s="582">
        <f t="shared" si="195"/>
        <v>2564.1</v>
      </c>
      <c r="R527" s="583">
        <f t="shared" si="196"/>
        <v>2600</v>
      </c>
      <c r="S527" s="628"/>
      <c r="T527" s="584"/>
      <c r="U527" s="585">
        <f>R527</f>
        <v>2600</v>
      </c>
      <c r="V527" s="586">
        <f t="shared" si="198"/>
        <v>1.4</v>
      </c>
      <c r="W527" s="611"/>
      <c r="X527" s="4" t="s">
        <v>2350</v>
      </c>
      <c r="Z527" s="489">
        <v>300</v>
      </c>
      <c r="AA527" s="361">
        <f t="shared" si="199"/>
        <v>256.41000000000003</v>
      </c>
      <c r="AB527" s="597"/>
      <c r="AC527" s="485">
        <f t="shared" si="200"/>
        <v>0</v>
      </c>
      <c r="AD527" s="597"/>
      <c r="AE527" s="485">
        <f t="shared" si="201"/>
        <v>0</v>
      </c>
      <c r="AF527" s="508">
        <f t="shared" si="202"/>
        <v>0</v>
      </c>
      <c r="AG527" s="508">
        <f t="shared" si="203"/>
        <v>0</v>
      </c>
      <c r="AH527" s="508">
        <f t="shared" si="204"/>
        <v>300</v>
      </c>
      <c r="AI527" s="508">
        <f t="shared" si="205"/>
        <v>0</v>
      </c>
      <c r="AJ527" s="508">
        <f t="shared" si="206"/>
        <v>43.59</v>
      </c>
      <c r="AK527" s="508">
        <f t="shared" si="207"/>
        <v>2600</v>
      </c>
      <c r="AM527" s="486">
        <f t="shared" si="208"/>
        <v>118</v>
      </c>
      <c r="AN527" s="117">
        <f t="shared" si="209"/>
        <v>-118</v>
      </c>
      <c r="AO527" s="487" t="e">
        <f t="shared" si="210"/>
        <v>#DIV/0!</v>
      </c>
    </row>
    <row r="528" spans="1:41" ht="15" hidden="1" customHeight="1" outlineLevel="1">
      <c r="A528" s="701">
        <v>519</v>
      </c>
      <c r="B528" s="477"/>
      <c r="C528" s="674" t="s">
        <v>2343</v>
      </c>
      <c r="D528" s="477" t="s">
        <v>1420</v>
      </c>
      <c r="E528" s="475" t="s">
        <v>1460</v>
      </c>
      <c r="F528" s="477"/>
      <c r="G528" s="482" t="s">
        <v>1945</v>
      </c>
      <c r="H528" s="482">
        <v>1</v>
      </c>
      <c r="I528" s="580">
        <v>41115</v>
      </c>
      <c r="J528" s="580">
        <v>41115</v>
      </c>
      <c r="K528" s="581">
        <v>24972.240000000002</v>
      </c>
      <c r="L528" s="581">
        <v>2134.38</v>
      </c>
      <c r="M528" s="582"/>
      <c r="N528" s="582"/>
      <c r="O528" s="582"/>
      <c r="P528" s="582">
        <f t="shared" si="194"/>
        <v>24972.240000000002</v>
      </c>
      <c r="Q528" s="582">
        <f t="shared" si="195"/>
        <v>2134.38</v>
      </c>
      <c r="R528" s="583">
        <f t="shared" si="196"/>
        <v>0</v>
      </c>
      <c r="S528" s="584"/>
      <c r="T528" s="584"/>
      <c r="U528" s="585">
        <f>ROUND(R528*(1-T528/100),0)</f>
        <v>0</v>
      </c>
      <c r="V528" s="586">
        <f t="shared" si="198"/>
        <v>-100</v>
      </c>
      <c r="W528" s="611" t="s">
        <v>2078</v>
      </c>
      <c r="X528" s="4" t="s">
        <v>2350</v>
      </c>
      <c r="Z528" s="617">
        <v>0</v>
      </c>
      <c r="AA528" s="361">
        <f t="shared" si="199"/>
        <v>0</v>
      </c>
      <c r="AB528" s="597"/>
      <c r="AC528" s="485">
        <f t="shared" si="200"/>
        <v>0</v>
      </c>
      <c r="AD528" s="597"/>
      <c r="AE528" s="485">
        <f t="shared" si="201"/>
        <v>0</v>
      </c>
      <c r="AF528" s="508">
        <f t="shared" si="202"/>
        <v>0</v>
      </c>
      <c r="AG528" s="508">
        <f t="shared" si="203"/>
        <v>0</v>
      </c>
      <c r="AH528" s="508">
        <f t="shared" si="204"/>
        <v>0</v>
      </c>
      <c r="AI528" s="508">
        <f t="shared" si="205"/>
        <v>0</v>
      </c>
      <c r="AJ528" s="508">
        <f t="shared" si="206"/>
        <v>0</v>
      </c>
      <c r="AK528" s="508">
        <f t="shared" si="207"/>
        <v>0</v>
      </c>
      <c r="AL528" s="116">
        <v>8</v>
      </c>
      <c r="AM528" s="486">
        <f t="shared" si="208"/>
        <v>5.35</v>
      </c>
      <c r="AN528" s="117">
        <f t="shared" si="209"/>
        <v>3</v>
      </c>
      <c r="AO528" s="487">
        <f t="shared" si="210"/>
        <v>36</v>
      </c>
    </row>
    <row r="529" spans="1:44" ht="15" hidden="1" customHeight="1" outlineLevel="1">
      <c r="A529" s="700">
        <v>460</v>
      </c>
      <c r="B529" s="477"/>
      <c r="C529" s="698" t="s">
        <v>1471</v>
      </c>
      <c r="D529" s="477" t="s">
        <v>1413</v>
      </c>
      <c r="E529" s="475" t="s">
        <v>1460</v>
      </c>
      <c r="F529" s="477"/>
      <c r="G529" s="579" t="s">
        <v>1954</v>
      </c>
      <c r="H529" s="482">
        <v>1</v>
      </c>
      <c r="I529" s="580">
        <v>40634</v>
      </c>
      <c r="J529" s="580">
        <v>40634</v>
      </c>
      <c r="K529" s="581">
        <v>12820.51</v>
      </c>
      <c r="L529" s="581">
        <v>0</v>
      </c>
      <c r="M529" s="582"/>
      <c r="N529" s="582"/>
      <c r="O529" s="582"/>
      <c r="P529" s="582">
        <f t="shared" si="194"/>
        <v>12820.51</v>
      </c>
      <c r="Q529" s="582">
        <f t="shared" si="195"/>
        <v>0</v>
      </c>
      <c r="R529" s="583">
        <f>AK627</f>
        <v>0</v>
      </c>
      <c r="S529" s="584"/>
      <c r="T529" s="584"/>
      <c r="U529" s="585">
        <f>IF(S529="",R529,ROUND(R529*S529/100,0))</f>
        <v>0</v>
      </c>
      <c r="V529" s="586" t="str">
        <f t="shared" si="198"/>
        <v/>
      </c>
      <c r="W529" s="611" t="s">
        <v>1994</v>
      </c>
      <c r="X529" s="4" t="s">
        <v>2351</v>
      </c>
    </row>
    <row r="530" spans="1:44" ht="15" hidden="1" customHeight="1" outlineLevel="1">
      <c r="A530" s="700">
        <v>461</v>
      </c>
      <c r="B530" s="477"/>
      <c r="C530" s="698" t="s">
        <v>1593</v>
      </c>
      <c r="D530" s="477" t="s">
        <v>1414</v>
      </c>
      <c r="E530" s="475" t="s">
        <v>1460</v>
      </c>
      <c r="F530" s="477"/>
      <c r="G530" s="482" t="s">
        <v>1945</v>
      </c>
      <c r="H530" s="482">
        <v>1</v>
      </c>
      <c r="I530" s="580">
        <v>42429</v>
      </c>
      <c r="J530" s="580">
        <v>42429</v>
      </c>
      <c r="K530" s="581">
        <v>351847.86</v>
      </c>
      <c r="L530" s="581">
        <v>12820.51</v>
      </c>
      <c r="M530" s="582"/>
      <c r="N530" s="582"/>
      <c r="O530" s="582"/>
      <c r="P530" s="582">
        <f t="shared" si="194"/>
        <v>351847.86</v>
      </c>
      <c r="Q530" s="582">
        <f t="shared" si="195"/>
        <v>12820.51</v>
      </c>
      <c r="R530" s="583">
        <f>AK628</f>
        <v>0</v>
      </c>
      <c r="S530" s="584"/>
      <c r="T530" s="584"/>
      <c r="U530" s="585">
        <f>IF(S530="",R530,ROUND(R530*S530/100,0))</f>
        <v>0</v>
      </c>
      <c r="V530" s="586">
        <f t="shared" si="198"/>
        <v>-100</v>
      </c>
      <c r="W530" s="611" t="s">
        <v>2078</v>
      </c>
      <c r="X530" s="4" t="s">
        <v>2351</v>
      </c>
    </row>
    <row r="531" spans="1:44" ht="15.75" customHeight="1" collapsed="1">
      <c r="A531" s="600"/>
    </row>
    <row r="532" spans="1:44" ht="15" hidden="1" customHeight="1" outlineLevel="1">
      <c r="A532" s="666">
        <v>29</v>
      </c>
      <c r="B532" s="674"/>
      <c r="C532" s="674" t="s">
        <v>2327</v>
      </c>
      <c r="D532" s="674" t="s">
        <v>1210</v>
      </c>
      <c r="E532" s="675" t="s">
        <v>2322</v>
      </c>
      <c r="F532" s="683" t="s">
        <v>2002</v>
      </c>
      <c r="G532" s="696" t="s">
        <v>1914</v>
      </c>
      <c r="H532" s="677">
        <v>1</v>
      </c>
      <c r="I532" s="622">
        <v>41079</v>
      </c>
      <c r="J532" s="622">
        <v>41079</v>
      </c>
      <c r="K532" s="616">
        <v>43220</v>
      </c>
      <c r="L532" s="616">
        <v>32198.9</v>
      </c>
      <c r="M532" s="678"/>
      <c r="N532" s="678"/>
      <c r="O532" s="678"/>
      <c r="P532" s="678">
        <f t="shared" ref="P532:P563" si="211">K532+N532</f>
        <v>43220</v>
      </c>
      <c r="Q532" s="678">
        <f t="shared" ref="Q532:Q563" si="212">L532+O532</f>
        <v>32198.9</v>
      </c>
      <c r="R532" s="679">
        <f t="shared" ref="R532:R563" si="213">AK532</f>
        <v>0</v>
      </c>
      <c r="S532" s="680"/>
      <c r="T532" s="680"/>
      <c r="U532" s="681">
        <f t="shared" ref="U532:U563" si="214">IF(S532="",R532,ROUND(R532*S532/100,0))</f>
        <v>0</v>
      </c>
      <c r="V532" s="682">
        <f t="shared" ref="V532:V563" si="215">IF(Q532=0,"",(U532-Q532)/Q532*100)</f>
        <v>-100</v>
      </c>
      <c r="W532" s="683" t="s">
        <v>1104</v>
      </c>
      <c r="X532" s="684">
        <f>P532/H532</f>
        <v>43220</v>
      </c>
      <c r="Y532" s="684"/>
      <c r="Z532" s="624">
        <v>0</v>
      </c>
      <c r="AA532" s="686">
        <f t="shared" ref="AA532:AA563" si="216">Z532/1.17</f>
        <v>0</v>
      </c>
      <c r="AB532" s="687"/>
      <c r="AC532" s="688">
        <f t="shared" ref="AC532:AC563" si="217">Z532*AB532</f>
        <v>0</v>
      </c>
      <c r="AD532" s="687"/>
      <c r="AE532" s="688">
        <f t="shared" ref="AE532:AE563" si="218">Z532*AD532</f>
        <v>0</v>
      </c>
      <c r="AF532" s="689">
        <f t="shared" ref="AF532:AF563" si="219">(Z532+AC532+AE532)*AF$4</f>
        <v>0</v>
      </c>
      <c r="AG532" s="689">
        <f t="shared" ref="AG532:AG563" si="220">(Z532+AC532+AE532)*AG$4</f>
        <v>0</v>
      </c>
      <c r="AH532" s="689">
        <f t="shared" ref="AH532:AH563" si="221">Z532+AC532+AE532+AF532</f>
        <v>0</v>
      </c>
      <c r="AI532" s="689">
        <f t="shared" ref="AI532:AI563" si="222">AH532*AI$3*AI$4/2</f>
        <v>0</v>
      </c>
      <c r="AJ532" s="689">
        <f t="shared" ref="AJ532:AJ563" si="223">Z532*0.17/1.17+AC532*0.11/1.11+AE532*0.11/1.11+AF532-AG532</f>
        <v>0</v>
      </c>
      <c r="AK532" s="689">
        <f t="shared" ref="AK532:AK563" si="224">ROUND((Z532+AC532+AE532+AF532+AI532-AJ532)*H532,-2)</f>
        <v>0</v>
      </c>
      <c r="AL532" s="690">
        <v>14</v>
      </c>
      <c r="AM532" s="691">
        <f t="shared" ref="AM532:AM563" si="225">(AM$4-J532)/365</f>
        <v>5.45</v>
      </c>
      <c r="AN532" s="692">
        <f t="shared" ref="AN532:AN563" si="226">ROUND((AL532-AM532),0)</f>
        <v>9</v>
      </c>
      <c r="AO532" s="693">
        <f t="shared" ref="AO532:AO563" si="227">AN532/(AM532+AN532)*100</f>
        <v>62</v>
      </c>
      <c r="AP532" s="697"/>
      <c r="AQ532" s="694"/>
      <c r="AR532" s="694"/>
    </row>
    <row r="533" spans="1:44" ht="15" hidden="1" customHeight="1" outlineLevel="1">
      <c r="A533" s="666">
        <v>98</v>
      </c>
      <c r="B533" s="674"/>
      <c r="C533" s="674" t="s">
        <v>2323</v>
      </c>
      <c r="D533" s="674"/>
      <c r="E533" s="675" t="s">
        <v>2322</v>
      </c>
      <c r="F533" s="683" t="s">
        <v>2004</v>
      </c>
      <c r="G533" s="677" t="s">
        <v>1943</v>
      </c>
      <c r="H533" s="677">
        <v>1</v>
      </c>
      <c r="I533" s="622">
        <v>41043</v>
      </c>
      <c r="J533" s="622">
        <v>41043</v>
      </c>
      <c r="K533" s="616">
        <v>54529.919999999998</v>
      </c>
      <c r="L533" s="616">
        <v>4660.68</v>
      </c>
      <c r="M533" s="678"/>
      <c r="N533" s="678"/>
      <c r="O533" s="678"/>
      <c r="P533" s="678">
        <f t="shared" si="211"/>
        <v>54529.919999999998</v>
      </c>
      <c r="Q533" s="678">
        <f t="shared" si="212"/>
        <v>4660.68</v>
      </c>
      <c r="R533" s="679">
        <f t="shared" si="213"/>
        <v>0</v>
      </c>
      <c r="S533" s="680"/>
      <c r="T533" s="680"/>
      <c r="U533" s="681">
        <f t="shared" si="214"/>
        <v>0</v>
      </c>
      <c r="V533" s="682">
        <f t="shared" si="215"/>
        <v>-100</v>
      </c>
      <c r="W533" s="683" t="s">
        <v>2324</v>
      </c>
      <c r="X533" s="695">
        <f>P533*1.17/H533</f>
        <v>63800.01</v>
      </c>
      <c r="Y533" s="684"/>
      <c r="Z533" s="685">
        <v>0</v>
      </c>
      <c r="AA533" s="686">
        <f t="shared" si="216"/>
        <v>0</v>
      </c>
      <c r="AB533" s="687"/>
      <c r="AC533" s="688">
        <f t="shared" si="217"/>
        <v>0</v>
      </c>
      <c r="AD533" s="687"/>
      <c r="AE533" s="688">
        <f t="shared" si="218"/>
        <v>0</v>
      </c>
      <c r="AF533" s="689">
        <f t="shared" si="219"/>
        <v>0</v>
      </c>
      <c r="AG533" s="689">
        <f t="shared" si="220"/>
        <v>0</v>
      </c>
      <c r="AH533" s="689">
        <f t="shared" si="221"/>
        <v>0</v>
      </c>
      <c r="AI533" s="689">
        <f t="shared" si="222"/>
        <v>0</v>
      </c>
      <c r="AJ533" s="689">
        <f t="shared" si="223"/>
        <v>0</v>
      </c>
      <c r="AK533" s="689">
        <f t="shared" si="224"/>
        <v>0</v>
      </c>
      <c r="AL533" s="690"/>
      <c r="AM533" s="691">
        <f t="shared" si="225"/>
        <v>5.55</v>
      </c>
      <c r="AN533" s="692">
        <f t="shared" si="226"/>
        <v>-6</v>
      </c>
      <c r="AO533" s="693">
        <f t="shared" si="227"/>
        <v>1333</v>
      </c>
      <c r="AP533" s="697"/>
      <c r="AQ533" s="694"/>
      <c r="AR533" s="694"/>
    </row>
    <row r="534" spans="1:44" ht="15" hidden="1" customHeight="1" outlineLevel="1">
      <c r="A534" s="666">
        <v>118</v>
      </c>
      <c r="B534" s="674"/>
      <c r="C534" s="674" t="s">
        <v>2321</v>
      </c>
      <c r="D534" s="674"/>
      <c r="E534" s="675" t="s">
        <v>2322</v>
      </c>
      <c r="F534" s="676" t="s">
        <v>1995</v>
      </c>
      <c r="G534" s="677" t="s">
        <v>1943</v>
      </c>
      <c r="H534" s="677">
        <v>1</v>
      </c>
      <c r="I534" s="622">
        <v>41983</v>
      </c>
      <c r="J534" s="622">
        <v>41983</v>
      </c>
      <c r="K534" s="616">
        <v>99000</v>
      </c>
      <c r="L534" s="616">
        <v>6410.26</v>
      </c>
      <c r="M534" s="678"/>
      <c r="N534" s="678"/>
      <c r="O534" s="678"/>
      <c r="P534" s="678">
        <f t="shared" si="211"/>
        <v>99000</v>
      </c>
      <c r="Q534" s="678">
        <f t="shared" si="212"/>
        <v>6410.26</v>
      </c>
      <c r="R534" s="679">
        <f t="shared" si="213"/>
        <v>0</v>
      </c>
      <c r="S534" s="680"/>
      <c r="T534" s="680"/>
      <c r="U534" s="681">
        <f t="shared" si="214"/>
        <v>0</v>
      </c>
      <c r="V534" s="682">
        <f t="shared" si="215"/>
        <v>-100</v>
      </c>
      <c r="W534" s="683" t="s">
        <v>2324</v>
      </c>
      <c r="X534" s="684">
        <f>P534/H534</f>
        <v>99000</v>
      </c>
      <c r="Y534" s="684"/>
      <c r="Z534" s="685">
        <v>0</v>
      </c>
      <c r="AA534" s="686">
        <f t="shared" si="216"/>
        <v>0</v>
      </c>
      <c r="AB534" s="687"/>
      <c r="AC534" s="688">
        <f t="shared" si="217"/>
        <v>0</v>
      </c>
      <c r="AD534" s="687"/>
      <c r="AE534" s="688">
        <f t="shared" si="218"/>
        <v>0</v>
      </c>
      <c r="AF534" s="689">
        <f t="shared" si="219"/>
        <v>0</v>
      </c>
      <c r="AG534" s="689">
        <f t="shared" si="220"/>
        <v>0</v>
      </c>
      <c r="AH534" s="689">
        <f t="shared" si="221"/>
        <v>0</v>
      </c>
      <c r="AI534" s="689">
        <f t="shared" si="222"/>
        <v>0</v>
      </c>
      <c r="AJ534" s="689">
        <f t="shared" si="223"/>
        <v>0</v>
      </c>
      <c r="AK534" s="689">
        <f t="shared" si="224"/>
        <v>0</v>
      </c>
      <c r="AL534" s="690"/>
      <c r="AM534" s="691">
        <f t="shared" si="225"/>
        <v>2.98</v>
      </c>
      <c r="AN534" s="692">
        <f t="shared" si="226"/>
        <v>-3</v>
      </c>
      <c r="AO534" s="693">
        <f t="shared" si="227"/>
        <v>15000</v>
      </c>
      <c r="AP534" s="697"/>
      <c r="AQ534" s="694"/>
      <c r="AR534" s="694"/>
    </row>
    <row r="535" spans="1:44" ht="15" hidden="1" customHeight="1" outlineLevel="1">
      <c r="A535" s="666">
        <v>132</v>
      </c>
      <c r="B535" s="674"/>
      <c r="C535" s="674" t="s">
        <v>2325</v>
      </c>
      <c r="D535" s="674" t="s">
        <v>1250</v>
      </c>
      <c r="E535" s="675" t="s">
        <v>2322</v>
      </c>
      <c r="F535" s="683" t="s">
        <v>2015</v>
      </c>
      <c r="G535" s="677" t="s">
        <v>1943</v>
      </c>
      <c r="H535" s="677">
        <v>1</v>
      </c>
      <c r="I535" s="622">
        <v>42368</v>
      </c>
      <c r="J535" s="622">
        <v>42368</v>
      </c>
      <c r="K535" s="616">
        <v>7153.51</v>
      </c>
      <c r="L535" s="616">
        <v>611.41</v>
      </c>
      <c r="M535" s="678"/>
      <c r="N535" s="678"/>
      <c r="O535" s="678"/>
      <c r="P535" s="678">
        <f t="shared" si="211"/>
        <v>7153.51</v>
      </c>
      <c r="Q535" s="678">
        <f t="shared" si="212"/>
        <v>611.41</v>
      </c>
      <c r="R535" s="679">
        <f t="shared" si="213"/>
        <v>0</v>
      </c>
      <c r="S535" s="680"/>
      <c r="T535" s="680"/>
      <c r="U535" s="681">
        <f t="shared" si="214"/>
        <v>0</v>
      </c>
      <c r="V535" s="682">
        <f t="shared" si="215"/>
        <v>-100</v>
      </c>
      <c r="W535" s="683" t="s">
        <v>2324</v>
      </c>
      <c r="X535" s="695">
        <f t="shared" ref="X535:X548" si="228">P535*1.17/H535</f>
        <v>8369.61</v>
      </c>
      <c r="Y535" s="684"/>
      <c r="Z535" s="624">
        <v>0</v>
      </c>
      <c r="AA535" s="686">
        <f t="shared" si="216"/>
        <v>0</v>
      </c>
      <c r="AB535" s="687"/>
      <c r="AC535" s="688">
        <f t="shared" si="217"/>
        <v>0</v>
      </c>
      <c r="AD535" s="687"/>
      <c r="AE535" s="688">
        <f t="shared" si="218"/>
        <v>0</v>
      </c>
      <c r="AF535" s="689">
        <f t="shared" si="219"/>
        <v>0</v>
      </c>
      <c r="AG535" s="689">
        <f t="shared" si="220"/>
        <v>0</v>
      </c>
      <c r="AH535" s="689">
        <f t="shared" si="221"/>
        <v>0</v>
      </c>
      <c r="AI535" s="689">
        <f t="shared" si="222"/>
        <v>0</v>
      </c>
      <c r="AJ535" s="689">
        <f t="shared" si="223"/>
        <v>0</v>
      </c>
      <c r="AK535" s="689">
        <f t="shared" si="224"/>
        <v>0</v>
      </c>
      <c r="AL535" s="690">
        <v>10</v>
      </c>
      <c r="AM535" s="691">
        <f t="shared" si="225"/>
        <v>1.92</v>
      </c>
      <c r="AN535" s="692">
        <f t="shared" si="226"/>
        <v>8</v>
      </c>
      <c r="AO535" s="693">
        <f t="shared" si="227"/>
        <v>81</v>
      </c>
      <c r="AP535" s="697"/>
      <c r="AQ535" s="694"/>
      <c r="AR535" s="694"/>
    </row>
    <row r="536" spans="1:44" ht="15" hidden="1" customHeight="1" outlineLevel="1">
      <c r="A536" s="666">
        <v>384</v>
      </c>
      <c r="B536" s="674"/>
      <c r="C536" s="674" t="s">
        <v>2326</v>
      </c>
      <c r="D536" s="674" t="s">
        <v>1379</v>
      </c>
      <c r="E536" s="675" t="s">
        <v>2322</v>
      </c>
      <c r="F536" s="676" t="s">
        <v>1995</v>
      </c>
      <c r="G536" s="677" t="s">
        <v>1943</v>
      </c>
      <c r="H536" s="677">
        <v>1</v>
      </c>
      <c r="I536" s="622">
        <v>42368</v>
      </c>
      <c r="J536" s="622">
        <v>42368</v>
      </c>
      <c r="K536" s="616">
        <v>15163.61</v>
      </c>
      <c r="L536" s="616">
        <v>1296.04</v>
      </c>
      <c r="M536" s="678"/>
      <c r="N536" s="678"/>
      <c r="O536" s="678"/>
      <c r="P536" s="678">
        <f t="shared" si="211"/>
        <v>15163.61</v>
      </c>
      <c r="Q536" s="678">
        <f t="shared" si="212"/>
        <v>1296.04</v>
      </c>
      <c r="R536" s="679">
        <f t="shared" si="213"/>
        <v>0</v>
      </c>
      <c r="S536" s="680"/>
      <c r="T536" s="680"/>
      <c r="U536" s="681">
        <f t="shared" si="214"/>
        <v>0</v>
      </c>
      <c r="V536" s="682">
        <f t="shared" si="215"/>
        <v>-100</v>
      </c>
      <c r="W536" s="683" t="s">
        <v>2324</v>
      </c>
      <c r="X536" s="695">
        <f t="shared" si="228"/>
        <v>17741.419999999998</v>
      </c>
      <c r="Y536" s="684"/>
      <c r="Z536" s="685">
        <v>0</v>
      </c>
      <c r="AA536" s="686">
        <f t="shared" si="216"/>
        <v>0</v>
      </c>
      <c r="AB536" s="687"/>
      <c r="AC536" s="688">
        <f t="shared" si="217"/>
        <v>0</v>
      </c>
      <c r="AD536" s="687"/>
      <c r="AE536" s="688">
        <f t="shared" si="218"/>
        <v>0</v>
      </c>
      <c r="AF536" s="689">
        <f t="shared" si="219"/>
        <v>0</v>
      </c>
      <c r="AG536" s="689">
        <f t="shared" si="220"/>
        <v>0</v>
      </c>
      <c r="AH536" s="689">
        <f t="shared" si="221"/>
        <v>0</v>
      </c>
      <c r="AI536" s="689">
        <f t="shared" si="222"/>
        <v>0</v>
      </c>
      <c r="AJ536" s="689">
        <f t="shared" si="223"/>
        <v>0</v>
      </c>
      <c r="AK536" s="689">
        <f t="shared" si="224"/>
        <v>0</v>
      </c>
      <c r="AL536" s="690"/>
      <c r="AM536" s="691">
        <f t="shared" si="225"/>
        <v>1.92</v>
      </c>
      <c r="AN536" s="692">
        <f t="shared" si="226"/>
        <v>-2</v>
      </c>
      <c r="AO536" s="693">
        <f t="shared" si="227"/>
        <v>2500</v>
      </c>
      <c r="AP536" s="697"/>
      <c r="AQ536" s="694"/>
      <c r="AR536" s="694"/>
    </row>
    <row r="537" spans="1:44" ht="15" hidden="1" customHeight="1" outlineLevel="1">
      <c r="A537" s="666">
        <v>399</v>
      </c>
      <c r="B537" s="477"/>
      <c r="C537" s="477" t="s">
        <v>1845</v>
      </c>
      <c r="D537" s="477" t="s">
        <v>1846</v>
      </c>
      <c r="E537" s="475" t="s">
        <v>1453</v>
      </c>
      <c r="F537" s="611" t="s">
        <v>1847</v>
      </c>
      <c r="G537" s="482" t="s">
        <v>1960</v>
      </c>
      <c r="H537" s="482">
        <v>20.8</v>
      </c>
      <c r="I537" s="580"/>
      <c r="J537" s="580"/>
      <c r="K537" s="581">
        <v>3222.22</v>
      </c>
      <c r="L537" s="581"/>
      <c r="M537" s="582"/>
      <c r="N537" s="582"/>
      <c r="O537" s="582"/>
      <c r="P537" s="582">
        <f t="shared" si="211"/>
        <v>3222.22</v>
      </c>
      <c r="Q537" s="582">
        <f t="shared" si="212"/>
        <v>0</v>
      </c>
      <c r="R537" s="583">
        <f t="shared" si="213"/>
        <v>0</v>
      </c>
      <c r="S537" s="584"/>
      <c r="T537" s="584"/>
      <c r="U537" s="585">
        <f t="shared" si="214"/>
        <v>0</v>
      </c>
      <c r="V537" s="586" t="str">
        <f t="shared" si="215"/>
        <v/>
      </c>
      <c r="W537" s="683" t="s">
        <v>2328</v>
      </c>
      <c r="X537" s="619">
        <f t="shared" si="228"/>
        <v>181.25</v>
      </c>
      <c r="Y537" s="618" t="s">
        <v>2051</v>
      </c>
      <c r="Z537" s="624">
        <v>0</v>
      </c>
      <c r="AA537" s="361">
        <f t="shared" si="216"/>
        <v>0</v>
      </c>
      <c r="AB537" s="597"/>
      <c r="AC537" s="485">
        <f t="shared" si="217"/>
        <v>0</v>
      </c>
      <c r="AD537" s="597"/>
      <c r="AE537" s="485">
        <f t="shared" si="218"/>
        <v>0</v>
      </c>
      <c r="AF537" s="508">
        <f t="shared" si="219"/>
        <v>0</v>
      </c>
      <c r="AG537" s="508">
        <f t="shared" si="220"/>
        <v>0</v>
      </c>
      <c r="AH537" s="508">
        <f t="shared" si="221"/>
        <v>0</v>
      </c>
      <c r="AI537" s="508">
        <f t="shared" si="222"/>
        <v>0</v>
      </c>
      <c r="AJ537" s="508">
        <f t="shared" si="223"/>
        <v>0</v>
      </c>
      <c r="AK537" s="508">
        <f t="shared" si="224"/>
        <v>0</v>
      </c>
      <c r="AM537" s="486">
        <f t="shared" si="225"/>
        <v>118</v>
      </c>
      <c r="AN537" s="117">
        <f t="shared" si="226"/>
        <v>-118</v>
      </c>
      <c r="AO537" s="487" t="e">
        <f t="shared" si="227"/>
        <v>#DIV/0!</v>
      </c>
      <c r="AP537" s="610"/>
    </row>
    <row r="538" spans="1:44" ht="15" hidden="1" customHeight="1" outlineLevel="1">
      <c r="A538" s="666">
        <v>400</v>
      </c>
      <c r="B538" s="477"/>
      <c r="C538" s="611" t="s">
        <v>1824</v>
      </c>
      <c r="D538" s="477" t="s">
        <v>1825</v>
      </c>
      <c r="E538" s="475" t="s">
        <v>1453</v>
      </c>
      <c r="F538" s="477"/>
      <c r="G538" s="579" t="s">
        <v>1914</v>
      </c>
      <c r="H538" s="482">
        <v>6</v>
      </c>
      <c r="I538" s="580"/>
      <c r="J538" s="580"/>
      <c r="K538" s="581">
        <v>228.72</v>
      </c>
      <c r="L538" s="581"/>
      <c r="M538" s="582"/>
      <c r="N538" s="582"/>
      <c r="O538" s="582"/>
      <c r="P538" s="582">
        <f t="shared" si="211"/>
        <v>228.72</v>
      </c>
      <c r="Q538" s="582">
        <f t="shared" si="212"/>
        <v>0</v>
      </c>
      <c r="R538" s="583">
        <f t="shared" si="213"/>
        <v>0</v>
      </c>
      <c r="S538" s="584"/>
      <c r="T538" s="584"/>
      <c r="U538" s="585">
        <f t="shared" si="214"/>
        <v>0</v>
      </c>
      <c r="V538" s="586" t="str">
        <f t="shared" si="215"/>
        <v/>
      </c>
      <c r="W538" s="683" t="s">
        <v>2328</v>
      </c>
      <c r="X538" s="619">
        <f t="shared" si="228"/>
        <v>44.6</v>
      </c>
      <c r="Y538" s="618" t="s">
        <v>2051</v>
      </c>
      <c r="Z538" s="624">
        <v>0</v>
      </c>
      <c r="AA538" s="361">
        <f t="shared" si="216"/>
        <v>0</v>
      </c>
      <c r="AB538" s="597"/>
      <c r="AC538" s="485">
        <f t="shared" si="217"/>
        <v>0</v>
      </c>
      <c r="AD538" s="597"/>
      <c r="AE538" s="485">
        <f t="shared" si="218"/>
        <v>0</v>
      </c>
      <c r="AF538" s="508">
        <f t="shared" si="219"/>
        <v>0</v>
      </c>
      <c r="AG538" s="508">
        <f t="shared" si="220"/>
        <v>0</v>
      </c>
      <c r="AH538" s="508">
        <f t="shared" si="221"/>
        <v>0</v>
      </c>
      <c r="AI538" s="508">
        <f t="shared" si="222"/>
        <v>0</v>
      </c>
      <c r="AJ538" s="508">
        <f t="shared" si="223"/>
        <v>0</v>
      </c>
      <c r="AK538" s="508">
        <f t="shared" si="224"/>
        <v>0</v>
      </c>
      <c r="AM538" s="486">
        <f t="shared" si="225"/>
        <v>118</v>
      </c>
      <c r="AN538" s="117">
        <f t="shared" si="226"/>
        <v>-118</v>
      </c>
      <c r="AO538" s="487" t="e">
        <f t="shared" si="227"/>
        <v>#DIV/0!</v>
      </c>
      <c r="AP538" s="610"/>
    </row>
    <row r="539" spans="1:44" ht="15" hidden="1" customHeight="1" outlineLevel="1">
      <c r="A539" s="666">
        <v>401</v>
      </c>
      <c r="B539" s="477"/>
      <c r="C539" s="611" t="s">
        <v>1858</v>
      </c>
      <c r="D539" s="612" t="s">
        <v>1859</v>
      </c>
      <c r="E539" s="475" t="s">
        <v>1453</v>
      </c>
      <c r="F539" s="611" t="s">
        <v>1857</v>
      </c>
      <c r="G539" s="579" t="s">
        <v>1959</v>
      </c>
      <c r="H539" s="482">
        <v>3</v>
      </c>
      <c r="I539" s="580"/>
      <c r="J539" s="580"/>
      <c r="K539" s="581">
        <v>423.08</v>
      </c>
      <c r="L539" s="581"/>
      <c r="M539" s="582"/>
      <c r="N539" s="582"/>
      <c r="O539" s="582"/>
      <c r="P539" s="582">
        <f t="shared" si="211"/>
        <v>423.08</v>
      </c>
      <c r="Q539" s="582">
        <f t="shared" si="212"/>
        <v>0</v>
      </c>
      <c r="R539" s="583">
        <f t="shared" si="213"/>
        <v>0</v>
      </c>
      <c r="S539" s="584"/>
      <c r="T539" s="584"/>
      <c r="U539" s="585">
        <f t="shared" si="214"/>
        <v>0</v>
      </c>
      <c r="V539" s="586" t="str">
        <f t="shared" si="215"/>
        <v/>
      </c>
      <c r="W539" s="683" t="s">
        <v>2328</v>
      </c>
      <c r="X539" s="619">
        <f t="shared" si="228"/>
        <v>165</v>
      </c>
      <c r="Y539" s="618" t="s">
        <v>2051</v>
      </c>
      <c r="Z539" s="624">
        <v>0</v>
      </c>
      <c r="AA539" s="361">
        <f t="shared" si="216"/>
        <v>0</v>
      </c>
      <c r="AB539" s="597"/>
      <c r="AC539" s="485">
        <f t="shared" si="217"/>
        <v>0</v>
      </c>
      <c r="AD539" s="597"/>
      <c r="AE539" s="485">
        <f t="shared" si="218"/>
        <v>0</v>
      </c>
      <c r="AF539" s="508">
        <f t="shared" si="219"/>
        <v>0</v>
      </c>
      <c r="AG539" s="508">
        <f t="shared" si="220"/>
        <v>0</v>
      </c>
      <c r="AH539" s="508">
        <f t="shared" si="221"/>
        <v>0</v>
      </c>
      <c r="AI539" s="508">
        <f t="shared" si="222"/>
        <v>0</v>
      </c>
      <c r="AJ539" s="508">
        <f t="shared" si="223"/>
        <v>0</v>
      </c>
      <c r="AK539" s="508">
        <f t="shared" si="224"/>
        <v>0</v>
      </c>
      <c r="AM539" s="486">
        <f t="shared" si="225"/>
        <v>118</v>
      </c>
      <c r="AN539" s="117">
        <f t="shared" si="226"/>
        <v>-118</v>
      </c>
      <c r="AO539" s="487" t="e">
        <f t="shared" si="227"/>
        <v>#DIV/0!</v>
      </c>
      <c r="AP539" s="610"/>
    </row>
    <row r="540" spans="1:44" ht="15" hidden="1" customHeight="1" outlineLevel="1">
      <c r="A540" s="666">
        <v>402</v>
      </c>
      <c r="B540" s="477"/>
      <c r="C540" s="611" t="s">
        <v>1813</v>
      </c>
      <c r="D540" s="477" t="s">
        <v>1814</v>
      </c>
      <c r="E540" s="475" t="s">
        <v>1453</v>
      </c>
      <c r="F540" s="477"/>
      <c r="G540" s="579" t="s">
        <v>1958</v>
      </c>
      <c r="H540" s="482">
        <v>2</v>
      </c>
      <c r="I540" s="580"/>
      <c r="J540" s="580"/>
      <c r="K540" s="581">
        <v>94.02</v>
      </c>
      <c r="L540" s="581"/>
      <c r="M540" s="582"/>
      <c r="N540" s="582"/>
      <c r="O540" s="582"/>
      <c r="P540" s="582">
        <f t="shared" si="211"/>
        <v>94.02</v>
      </c>
      <c r="Q540" s="582">
        <f t="shared" si="212"/>
        <v>0</v>
      </c>
      <c r="R540" s="583">
        <f t="shared" si="213"/>
        <v>0</v>
      </c>
      <c r="S540" s="584"/>
      <c r="T540" s="584"/>
      <c r="U540" s="585">
        <f t="shared" si="214"/>
        <v>0</v>
      </c>
      <c r="V540" s="586" t="str">
        <f t="shared" si="215"/>
        <v/>
      </c>
      <c r="W540" s="683" t="s">
        <v>2328</v>
      </c>
      <c r="X540" s="619">
        <f t="shared" si="228"/>
        <v>55</v>
      </c>
      <c r="Y540" s="618" t="s">
        <v>2051</v>
      </c>
      <c r="Z540" s="624">
        <v>0</v>
      </c>
      <c r="AA540" s="361">
        <f t="shared" si="216"/>
        <v>0</v>
      </c>
      <c r="AB540" s="597"/>
      <c r="AC540" s="485">
        <f t="shared" si="217"/>
        <v>0</v>
      </c>
      <c r="AD540" s="597"/>
      <c r="AE540" s="485">
        <f t="shared" si="218"/>
        <v>0</v>
      </c>
      <c r="AF540" s="508">
        <f t="shared" si="219"/>
        <v>0</v>
      </c>
      <c r="AG540" s="508">
        <f t="shared" si="220"/>
        <v>0</v>
      </c>
      <c r="AH540" s="508">
        <f t="shared" si="221"/>
        <v>0</v>
      </c>
      <c r="AI540" s="508">
        <f t="shared" si="222"/>
        <v>0</v>
      </c>
      <c r="AJ540" s="508">
        <f t="shared" si="223"/>
        <v>0</v>
      </c>
      <c r="AK540" s="508">
        <f t="shared" si="224"/>
        <v>0</v>
      </c>
      <c r="AM540" s="486">
        <f t="shared" si="225"/>
        <v>118</v>
      </c>
      <c r="AN540" s="117">
        <f t="shared" si="226"/>
        <v>-118</v>
      </c>
      <c r="AO540" s="487" t="e">
        <f t="shared" si="227"/>
        <v>#DIV/0!</v>
      </c>
      <c r="AP540" s="610"/>
    </row>
    <row r="541" spans="1:44" ht="15" hidden="1" customHeight="1" outlineLevel="1">
      <c r="A541" s="666">
        <v>403</v>
      </c>
      <c r="B541" s="477"/>
      <c r="C541" s="477" t="s">
        <v>1555</v>
      </c>
      <c r="D541" s="477"/>
      <c r="E541" s="475" t="s">
        <v>1453</v>
      </c>
      <c r="F541" s="477"/>
      <c r="G541" s="579" t="s">
        <v>1960</v>
      </c>
      <c r="H541" s="482">
        <v>6.4</v>
      </c>
      <c r="I541" s="580"/>
      <c r="J541" s="580"/>
      <c r="K541" s="581">
        <v>410.26</v>
      </c>
      <c r="L541" s="581"/>
      <c r="M541" s="582"/>
      <c r="N541" s="582"/>
      <c r="O541" s="582"/>
      <c r="P541" s="582">
        <f t="shared" si="211"/>
        <v>410.26</v>
      </c>
      <c r="Q541" s="582">
        <f t="shared" si="212"/>
        <v>0</v>
      </c>
      <c r="R541" s="583">
        <f t="shared" si="213"/>
        <v>0</v>
      </c>
      <c r="S541" s="584"/>
      <c r="T541" s="584"/>
      <c r="U541" s="585">
        <f t="shared" si="214"/>
        <v>0</v>
      </c>
      <c r="V541" s="586" t="str">
        <f t="shared" si="215"/>
        <v/>
      </c>
      <c r="W541" s="683" t="s">
        <v>2328</v>
      </c>
      <c r="X541" s="619">
        <f t="shared" si="228"/>
        <v>75</v>
      </c>
      <c r="Y541" s="618" t="s">
        <v>2051</v>
      </c>
      <c r="Z541" s="624">
        <v>0</v>
      </c>
      <c r="AA541" s="361">
        <f t="shared" si="216"/>
        <v>0</v>
      </c>
      <c r="AB541" s="597"/>
      <c r="AC541" s="485">
        <f t="shared" si="217"/>
        <v>0</v>
      </c>
      <c r="AD541" s="597"/>
      <c r="AE541" s="485">
        <f t="shared" si="218"/>
        <v>0</v>
      </c>
      <c r="AF541" s="508">
        <f t="shared" si="219"/>
        <v>0</v>
      </c>
      <c r="AG541" s="508">
        <f t="shared" si="220"/>
        <v>0</v>
      </c>
      <c r="AH541" s="508">
        <f t="shared" si="221"/>
        <v>0</v>
      </c>
      <c r="AI541" s="508">
        <f t="shared" si="222"/>
        <v>0</v>
      </c>
      <c r="AJ541" s="508">
        <f t="shared" si="223"/>
        <v>0</v>
      </c>
      <c r="AK541" s="508">
        <f t="shared" si="224"/>
        <v>0</v>
      </c>
      <c r="AM541" s="486">
        <f t="shared" si="225"/>
        <v>118</v>
      </c>
      <c r="AN541" s="117">
        <f t="shared" si="226"/>
        <v>-118</v>
      </c>
      <c r="AO541" s="487" t="e">
        <f t="shared" si="227"/>
        <v>#DIV/0!</v>
      </c>
      <c r="AP541" s="610"/>
    </row>
    <row r="542" spans="1:44" ht="15" hidden="1" customHeight="1" outlineLevel="1">
      <c r="A542" s="666">
        <v>405</v>
      </c>
      <c r="B542" s="477"/>
      <c r="C542" s="477" t="s">
        <v>1799</v>
      </c>
      <c r="D542" s="477" t="s">
        <v>1800</v>
      </c>
      <c r="E542" s="475" t="s">
        <v>1453</v>
      </c>
      <c r="F542" s="477" t="s">
        <v>1476</v>
      </c>
      <c r="G542" s="579" t="s">
        <v>1914</v>
      </c>
      <c r="H542" s="482">
        <v>1</v>
      </c>
      <c r="I542" s="580"/>
      <c r="J542" s="580"/>
      <c r="K542" s="581">
        <v>5.13</v>
      </c>
      <c r="L542" s="581"/>
      <c r="M542" s="582"/>
      <c r="N542" s="582"/>
      <c r="O542" s="582"/>
      <c r="P542" s="582">
        <f t="shared" si="211"/>
        <v>5.13</v>
      </c>
      <c r="Q542" s="582">
        <f t="shared" si="212"/>
        <v>0</v>
      </c>
      <c r="R542" s="583">
        <f t="shared" si="213"/>
        <v>0</v>
      </c>
      <c r="S542" s="584"/>
      <c r="T542" s="584"/>
      <c r="U542" s="585">
        <f t="shared" si="214"/>
        <v>0</v>
      </c>
      <c r="V542" s="586" t="str">
        <f t="shared" si="215"/>
        <v/>
      </c>
      <c r="W542" s="683" t="s">
        <v>2328</v>
      </c>
      <c r="X542" s="619">
        <f t="shared" si="228"/>
        <v>6</v>
      </c>
      <c r="Y542" s="618" t="s">
        <v>2051</v>
      </c>
      <c r="Z542" s="624">
        <v>0</v>
      </c>
      <c r="AA542" s="361">
        <f t="shared" si="216"/>
        <v>0</v>
      </c>
      <c r="AB542" s="597"/>
      <c r="AC542" s="485">
        <f t="shared" si="217"/>
        <v>0</v>
      </c>
      <c r="AD542" s="597"/>
      <c r="AE542" s="485">
        <f t="shared" si="218"/>
        <v>0</v>
      </c>
      <c r="AF542" s="508">
        <f t="shared" si="219"/>
        <v>0</v>
      </c>
      <c r="AG542" s="508">
        <f t="shared" si="220"/>
        <v>0</v>
      </c>
      <c r="AH542" s="508">
        <f t="shared" si="221"/>
        <v>0</v>
      </c>
      <c r="AI542" s="508">
        <f t="shared" si="222"/>
        <v>0</v>
      </c>
      <c r="AJ542" s="508">
        <f t="shared" si="223"/>
        <v>0</v>
      </c>
      <c r="AK542" s="508">
        <f t="shared" si="224"/>
        <v>0</v>
      </c>
      <c r="AM542" s="486">
        <f t="shared" si="225"/>
        <v>118</v>
      </c>
      <c r="AN542" s="117">
        <f t="shared" si="226"/>
        <v>-118</v>
      </c>
      <c r="AO542" s="487" t="e">
        <f t="shared" si="227"/>
        <v>#DIV/0!</v>
      </c>
      <c r="AP542" s="610"/>
    </row>
    <row r="543" spans="1:44" ht="15" hidden="1" customHeight="1" outlineLevel="1">
      <c r="A543" s="666">
        <v>406</v>
      </c>
      <c r="B543" s="477"/>
      <c r="C543" s="477" t="s">
        <v>1871</v>
      </c>
      <c r="D543" s="477" t="s">
        <v>1872</v>
      </c>
      <c r="E543" s="475" t="s">
        <v>1453</v>
      </c>
      <c r="F543" s="477" t="s">
        <v>1476</v>
      </c>
      <c r="G543" s="579" t="s">
        <v>1914</v>
      </c>
      <c r="H543" s="482">
        <v>1</v>
      </c>
      <c r="I543" s="580"/>
      <c r="J543" s="580"/>
      <c r="K543" s="581">
        <v>6.84</v>
      </c>
      <c r="L543" s="581"/>
      <c r="M543" s="582"/>
      <c r="N543" s="582"/>
      <c r="O543" s="582"/>
      <c r="P543" s="582">
        <f t="shared" si="211"/>
        <v>6.84</v>
      </c>
      <c r="Q543" s="582">
        <f t="shared" si="212"/>
        <v>0</v>
      </c>
      <c r="R543" s="583">
        <f t="shared" si="213"/>
        <v>0</v>
      </c>
      <c r="S543" s="584"/>
      <c r="T543" s="584"/>
      <c r="U543" s="585">
        <f t="shared" si="214"/>
        <v>0</v>
      </c>
      <c r="V543" s="586" t="str">
        <f t="shared" si="215"/>
        <v/>
      </c>
      <c r="W543" s="683" t="s">
        <v>2328</v>
      </c>
      <c r="X543" s="619">
        <f t="shared" si="228"/>
        <v>8</v>
      </c>
      <c r="Y543" s="618" t="s">
        <v>2051</v>
      </c>
      <c r="Z543" s="624">
        <v>0</v>
      </c>
      <c r="AA543" s="361">
        <f t="shared" si="216"/>
        <v>0</v>
      </c>
      <c r="AB543" s="597"/>
      <c r="AC543" s="485">
        <f t="shared" si="217"/>
        <v>0</v>
      </c>
      <c r="AD543" s="597"/>
      <c r="AE543" s="485">
        <f t="shared" si="218"/>
        <v>0</v>
      </c>
      <c r="AF543" s="508">
        <f t="shared" si="219"/>
        <v>0</v>
      </c>
      <c r="AG543" s="508">
        <f t="shared" si="220"/>
        <v>0</v>
      </c>
      <c r="AH543" s="508">
        <f t="shared" si="221"/>
        <v>0</v>
      </c>
      <c r="AI543" s="508">
        <f t="shared" si="222"/>
        <v>0</v>
      </c>
      <c r="AJ543" s="508">
        <f t="shared" si="223"/>
        <v>0</v>
      </c>
      <c r="AK543" s="508">
        <f t="shared" si="224"/>
        <v>0</v>
      </c>
      <c r="AM543" s="486">
        <f t="shared" si="225"/>
        <v>118</v>
      </c>
      <c r="AN543" s="117">
        <f t="shared" si="226"/>
        <v>-118</v>
      </c>
      <c r="AO543" s="487" t="e">
        <f t="shared" si="227"/>
        <v>#DIV/0!</v>
      </c>
      <c r="AP543" s="610"/>
    </row>
    <row r="544" spans="1:44" ht="15" hidden="1" customHeight="1" outlineLevel="1">
      <c r="A544" s="666">
        <v>407</v>
      </c>
      <c r="B544" s="477"/>
      <c r="C544" s="477" t="s">
        <v>1921</v>
      </c>
      <c r="D544" s="477" t="s">
        <v>1922</v>
      </c>
      <c r="E544" s="475" t="s">
        <v>1453</v>
      </c>
      <c r="F544" s="477"/>
      <c r="G544" s="579" t="s">
        <v>1961</v>
      </c>
      <c r="H544" s="482">
        <v>5</v>
      </c>
      <c r="I544" s="580"/>
      <c r="J544" s="580"/>
      <c r="K544" s="581">
        <v>29.91</v>
      </c>
      <c r="L544" s="581"/>
      <c r="M544" s="582"/>
      <c r="N544" s="582"/>
      <c r="O544" s="582"/>
      <c r="P544" s="582">
        <f t="shared" si="211"/>
        <v>29.91</v>
      </c>
      <c r="Q544" s="582">
        <f t="shared" si="212"/>
        <v>0</v>
      </c>
      <c r="R544" s="583">
        <f t="shared" si="213"/>
        <v>0</v>
      </c>
      <c r="S544" s="584"/>
      <c r="T544" s="584"/>
      <c r="U544" s="585">
        <f t="shared" si="214"/>
        <v>0</v>
      </c>
      <c r="V544" s="586" t="str">
        <f t="shared" si="215"/>
        <v/>
      </c>
      <c r="W544" s="683" t="s">
        <v>2328</v>
      </c>
      <c r="X544" s="619">
        <f t="shared" si="228"/>
        <v>7</v>
      </c>
      <c r="Y544" s="618" t="s">
        <v>2051</v>
      </c>
      <c r="Z544" s="624">
        <v>0</v>
      </c>
      <c r="AA544" s="361">
        <f t="shared" si="216"/>
        <v>0</v>
      </c>
      <c r="AB544" s="597"/>
      <c r="AC544" s="485">
        <f t="shared" si="217"/>
        <v>0</v>
      </c>
      <c r="AD544" s="597"/>
      <c r="AE544" s="485">
        <f t="shared" si="218"/>
        <v>0</v>
      </c>
      <c r="AF544" s="508">
        <f t="shared" si="219"/>
        <v>0</v>
      </c>
      <c r="AG544" s="508">
        <f t="shared" si="220"/>
        <v>0</v>
      </c>
      <c r="AH544" s="508">
        <f t="shared" si="221"/>
        <v>0</v>
      </c>
      <c r="AI544" s="508">
        <f t="shared" si="222"/>
        <v>0</v>
      </c>
      <c r="AJ544" s="508">
        <f t="shared" si="223"/>
        <v>0</v>
      </c>
      <c r="AK544" s="508">
        <f t="shared" si="224"/>
        <v>0</v>
      </c>
      <c r="AM544" s="486">
        <f t="shared" si="225"/>
        <v>118</v>
      </c>
      <c r="AN544" s="117">
        <f t="shared" si="226"/>
        <v>-118</v>
      </c>
      <c r="AO544" s="487" t="e">
        <f t="shared" si="227"/>
        <v>#DIV/0!</v>
      </c>
      <c r="AP544" s="610"/>
    </row>
    <row r="545" spans="1:42" ht="15" hidden="1" customHeight="1" outlineLevel="1">
      <c r="A545" s="666">
        <v>408</v>
      </c>
      <c r="B545" s="477"/>
      <c r="C545" s="477" t="s">
        <v>1642</v>
      </c>
      <c r="D545" s="477"/>
      <c r="E545" s="475" t="s">
        <v>1453</v>
      </c>
      <c r="F545" s="477"/>
      <c r="G545" s="579" t="s">
        <v>1960</v>
      </c>
      <c r="H545" s="482">
        <v>7</v>
      </c>
      <c r="I545" s="580"/>
      <c r="J545" s="580"/>
      <c r="K545" s="581">
        <v>55.59</v>
      </c>
      <c r="L545" s="581"/>
      <c r="M545" s="582"/>
      <c r="N545" s="582"/>
      <c r="O545" s="582"/>
      <c r="P545" s="582">
        <f t="shared" si="211"/>
        <v>55.59</v>
      </c>
      <c r="Q545" s="582">
        <f t="shared" si="212"/>
        <v>0</v>
      </c>
      <c r="R545" s="583">
        <f t="shared" si="213"/>
        <v>0</v>
      </c>
      <c r="S545" s="584"/>
      <c r="T545" s="584"/>
      <c r="U545" s="585">
        <f t="shared" si="214"/>
        <v>0</v>
      </c>
      <c r="V545" s="586" t="str">
        <f t="shared" si="215"/>
        <v/>
      </c>
      <c r="W545" s="683" t="s">
        <v>2328</v>
      </c>
      <c r="X545" s="619">
        <f t="shared" si="228"/>
        <v>9.2899999999999991</v>
      </c>
      <c r="Y545" s="618" t="s">
        <v>2051</v>
      </c>
      <c r="Z545" s="624">
        <v>0</v>
      </c>
      <c r="AA545" s="361">
        <f t="shared" si="216"/>
        <v>0</v>
      </c>
      <c r="AB545" s="597"/>
      <c r="AC545" s="485">
        <f t="shared" si="217"/>
        <v>0</v>
      </c>
      <c r="AD545" s="597"/>
      <c r="AE545" s="485">
        <f t="shared" si="218"/>
        <v>0</v>
      </c>
      <c r="AF545" s="508">
        <f t="shared" si="219"/>
        <v>0</v>
      </c>
      <c r="AG545" s="508">
        <f t="shared" si="220"/>
        <v>0</v>
      </c>
      <c r="AH545" s="508">
        <f t="shared" si="221"/>
        <v>0</v>
      </c>
      <c r="AI545" s="508">
        <f t="shared" si="222"/>
        <v>0</v>
      </c>
      <c r="AJ545" s="508">
        <f t="shared" si="223"/>
        <v>0</v>
      </c>
      <c r="AK545" s="508">
        <f t="shared" si="224"/>
        <v>0</v>
      </c>
      <c r="AM545" s="486">
        <f t="shared" si="225"/>
        <v>118</v>
      </c>
      <c r="AN545" s="117">
        <f t="shared" si="226"/>
        <v>-118</v>
      </c>
      <c r="AO545" s="487" t="e">
        <f t="shared" si="227"/>
        <v>#DIV/0!</v>
      </c>
      <c r="AP545" s="610"/>
    </row>
    <row r="546" spans="1:42" ht="15" hidden="1" customHeight="1" outlineLevel="1">
      <c r="A546" s="666">
        <v>409</v>
      </c>
      <c r="B546" s="477"/>
      <c r="C546" s="477" t="s">
        <v>1735</v>
      </c>
      <c r="D546" s="477"/>
      <c r="E546" s="475" t="s">
        <v>1453</v>
      </c>
      <c r="F546" s="477"/>
      <c r="G546" s="579" t="s">
        <v>1914</v>
      </c>
      <c r="H546" s="482">
        <v>20</v>
      </c>
      <c r="I546" s="580"/>
      <c r="J546" s="580"/>
      <c r="K546" s="581">
        <v>59.84</v>
      </c>
      <c r="L546" s="581"/>
      <c r="M546" s="582"/>
      <c r="N546" s="582"/>
      <c r="O546" s="582"/>
      <c r="P546" s="582">
        <f t="shared" si="211"/>
        <v>59.84</v>
      </c>
      <c r="Q546" s="582">
        <f t="shared" si="212"/>
        <v>0</v>
      </c>
      <c r="R546" s="583">
        <f t="shared" si="213"/>
        <v>0</v>
      </c>
      <c r="S546" s="584"/>
      <c r="T546" s="584"/>
      <c r="U546" s="585">
        <f t="shared" si="214"/>
        <v>0</v>
      </c>
      <c r="V546" s="586" t="str">
        <f t="shared" si="215"/>
        <v/>
      </c>
      <c r="W546" s="683" t="s">
        <v>2328</v>
      </c>
      <c r="X546" s="619">
        <f t="shared" si="228"/>
        <v>3.5</v>
      </c>
      <c r="Y546" s="618" t="s">
        <v>2051</v>
      </c>
      <c r="Z546" s="624">
        <v>0</v>
      </c>
      <c r="AA546" s="361">
        <f t="shared" si="216"/>
        <v>0</v>
      </c>
      <c r="AB546" s="597"/>
      <c r="AC546" s="485">
        <f t="shared" si="217"/>
        <v>0</v>
      </c>
      <c r="AD546" s="597"/>
      <c r="AE546" s="485">
        <f t="shared" si="218"/>
        <v>0</v>
      </c>
      <c r="AF546" s="508">
        <f t="shared" si="219"/>
        <v>0</v>
      </c>
      <c r="AG546" s="508">
        <f t="shared" si="220"/>
        <v>0</v>
      </c>
      <c r="AH546" s="508">
        <f t="shared" si="221"/>
        <v>0</v>
      </c>
      <c r="AI546" s="508">
        <f t="shared" si="222"/>
        <v>0</v>
      </c>
      <c r="AJ546" s="508">
        <f t="shared" si="223"/>
        <v>0</v>
      </c>
      <c r="AK546" s="508">
        <f t="shared" si="224"/>
        <v>0</v>
      </c>
      <c r="AM546" s="486">
        <f t="shared" si="225"/>
        <v>118</v>
      </c>
      <c r="AN546" s="117">
        <f t="shared" si="226"/>
        <v>-118</v>
      </c>
      <c r="AO546" s="487" t="e">
        <f t="shared" si="227"/>
        <v>#DIV/0!</v>
      </c>
      <c r="AP546" s="610"/>
    </row>
    <row r="547" spans="1:42" ht="15" hidden="1" customHeight="1" outlineLevel="1">
      <c r="A547" s="666">
        <v>410</v>
      </c>
      <c r="B547" s="477"/>
      <c r="C547" s="477" t="s">
        <v>1882</v>
      </c>
      <c r="D547" s="477" t="s">
        <v>1883</v>
      </c>
      <c r="E547" s="475" t="s">
        <v>1453</v>
      </c>
      <c r="F547" s="611" t="s">
        <v>1884</v>
      </c>
      <c r="G547" s="579" t="s">
        <v>1914</v>
      </c>
      <c r="H547" s="482">
        <v>20</v>
      </c>
      <c r="I547" s="580"/>
      <c r="J547" s="580"/>
      <c r="K547" s="581">
        <v>102.56</v>
      </c>
      <c r="L547" s="581"/>
      <c r="M547" s="582"/>
      <c r="N547" s="582"/>
      <c r="O547" s="582"/>
      <c r="P547" s="582">
        <f t="shared" si="211"/>
        <v>102.56</v>
      </c>
      <c r="Q547" s="582">
        <f t="shared" si="212"/>
        <v>0</v>
      </c>
      <c r="R547" s="583">
        <f t="shared" si="213"/>
        <v>0</v>
      </c>
      <c r="S547" s="584"/>
      <c r="T547" s="584"/>
      <c r="U547" s="585">
        <f t="shared" si="214"/>
        <v>0</v>
      </c>
      <c r="V547" s="586" t="str">
        <f t="shared" si="215"/>
        <v/>
      </c>
      <c r="W547" s="683" t="s">
        <v>2328</v>
      </c>
      <c r="X547" s="619">
        <f t="shared" si="228"/>
        <v>6</v>
      </c>
      <c r="Y547" s="618" t="s">
        <v>2051</v>
      </c>
      <c r="Z547" s="624">
        <v>0</v>
      </c>
      <c r="AA547" s="361">
        <f t="shared" si="216"/>
        <v>0</v>
      </c>
      <c r="AB547" s="597"/>
      <c r="AC547" s="485">
        <f t="shared" si="217"/>
        <v>0</v>
      </c>
      <c r="AD547" s="597"/>
      <c r="AE547" s="485">
        <f t="shared" si="218"/>
        <v>0</v>
      </c>
      <c r="AF547" s="508">
        <f t="shared" si="219"/>
        <v>0</v>
      </c>
      <c r="AG547" s="508">
        <f t="shared" si="220"/>
        <v>0</v>
      </c>
      <c r="AH547" s="508">
        <f t="shared" si="221"/>
        <v>0</v>
      </c>
      <c r="AI547" s="508">
        <f t="shared" si="222"/>
        <v>0</v>
      </c>
      <c r="AJ547" s="508">
        <f t="shared" si="223"/>
        <v>0</v>
      </c>
      <c r="AK547" s="508">
        <f t="shared" si="224"/>
        <v>0</v>
      </c>
      <c r="AM547" s="486">
        <f t="shared" si="225"/>
        <v>118</v>
      </c>
      <c r="AN547" s="117">
        <f t="shared" si="226"/>
        <v>-118</v>
      </c>
      <c r="AO547" s="487" t="e">
        <f t="shared" si="227"/>
        <v>#DIV/0!</v>
      </c>
      <c r="AP547" s="610"/>
    </row>
    <row r="548" spans="1:42" ht="15" hidden="1" customHeight="1" outlineLevel="1">
      <c r="A548" s="666">
        <v>412</v>
      </c>
      <c r="B548" s="477"/>
      <c r="C548" s="477" t="s">
        <v>1562</v>
      </c>
      <c r="D548" s="477"/>
      <c r="E548" s="475" t="s">
        <v>1453</v>
      </c>
      <c r="F548" s="477"/>
      <c r="G548" s="579" t="s">
        <v>1914</v>
      </c>
      <c r="H548" s="482">
        <v>8</v>
      </c>
      <c r="I548" s="580"/>
      <c r="J548" s="580"/>
      <c r="K548" s="581">
        <v>41.03</v>
      </c>
      <c r="L548" s="581"/>
      <c r="M548" s="582"/>
      <c r="N548" s="582"/>
      <c r="O548" s="582"/>
      <c r="P548" s="582">
        <f t="shared" si="211"/>
        <v>41.03</v>
      </c>
      <c r="Q548" s="582">
        <f t="shared" si="212"/>
        <v>0</v>
      </c>
      <c r="R548" s="583">
        <f t="shared" si="213"/>
        <v>0</v>
      </c>
      <c r="S548" s="584"/>
      <c r="T548" s="584"/>
      <c r="U548" s="585">
        <f t="shared" si="214"/>
        <v>0</v>
      </c>
      <c r="V548" s="586" t="str">
        <f t="shared" si="215"/>
        <v/>
      </c>
      <c r="W548" s="683" t="s">
        <v>2328</v>
      </c>
      <c r="X548" s="619">
        <f t="shared" si="228"/>
        <v>6</v>
      </c>
      <c r="Y548" s="618" t="s">
        <v>2051</v>
      </c>
      <c r="Z548" s="624">
        <v>0</v>
      </c>
      <c r="AA548" s="361">
        <f t="shared" si="216"/>
        <v>0</v>
      </c>
      <c r="AB548" s="597"/>
      <c r="AC548" s="485">
        <f t="shared" si="217"/>
        <v>0</v>
      </c>
      <c r="AD548" s="597"/>
      <c r="AE548" s="485">
        <f t="shared" si="218"/>
        <v>0</v>
      </c>
      <c r="AF548" s="508">
        <f t="shared" si="219"/>
        <v>0</v>
      </c>
      <c r="AG548" s="508">
        <f t="shared" si="220"/>
        <v>0</v>
      </c>
      <c r="AH548" s="508">
        <f t="shared" si="221"/>
        <v>0</v>
      </c>
      <c r="AI548" s="508">
        <f t="shared" si="222"/>
        <v>0</v>
      </c>
      <c r="AJ548" s="508">
        <f t="shared" si="223"/>
        <v>0</v>
      </c>
      <c r="AK548" s="508">
        <f t="shared" si="224"/>
        <v>0</v>
      </c>
      <c r="AM548" s="486">
        <f t="shared" si="225"/>
        <v>118</v>
      </c>
      <c r="AN548" s="117">
        <f t="shared" si="226"/>
        <v>-118</v>
      </c>
      <c r="AO548" s="487" t="e">
        <f t="shared" si="227"/>
        <v>#DIV/0!</v>
      </c>
      <c r="AP548" s="610"/>
    </row>
    <row r="549" spans="1:42" ht="15" hidden="1" customHeight="1" outlineLevel="1">
      <c r="A549" s="666">
        <v>413</v>
      </c>
      <c r="B549" s="477"/>
      <c r="C549" s="477" t="s">
        <v>1811</v>
      </c>
      <c r="D549" s="477" t="s">
        <v>1812</v>
      </c>
      <c r="E549" s="475" t="s">
        <v>1453</v>
      </c>
      <c r="F549" s="477"/>
      <c r="G549" s="579" t="s">
        <v>1953</v>
      </c>
      <c r="H549" s="482">
        <v>7</v>
      </c>
      <c r="I549" s="580"/>
      <c r="J549" s="580"/>
      <c r="K549" s="581">
        <v>35</v>
      </c>
      <c r="L549" s="581"/>
      <c r="M549" s="582"/>
      <c r="N549" s="582"/>
      <c r="O549" s="582"/>
      <c r="P549" s="582">
        <f t="shared" si="211"/>
        <v>35</v>
      </c>
      <c r="Q549" s="582">
        <f t="shared" si="212"/>
        <v>0</v>
      </c>
      <c r="R549" s="583">
        <f t="shared" si="213"/>
        <v>0</v>
      </c>
      <c r="S549" s="584"/>
      <c r="T549" s="584"/>
      <c r="U549" s="585">
        <f t="shared" si="214"/>
        <v>0</v>
      </c>
      <c r="V549" s="586" t="str">
        <f t="shared" si="215"/>
        <v/>
      </c>
      <c r="W549" s="683" t="s">
        <v>2328</v>
      </c>
      <c r="X549" s="618">
        <f t="shared" ref="X549:X557" si="229">P549/H549</f>
        <v>5</v>
      </c>
      <c r="Y549" s="618" t="s">
        <v>2051</v>
      </c>
      <c r="Z549" s="624">
        <v>0</v>
      </c>
      <c r="AA549" s="361">
        <f t="shared" si="216"/>
        <v>0</v>
      </c>
      <c r="AB549" s="597"/>
      <c r="AC549" s="485">
        <f t="shared" si="217"/>
        <v>0</v>
      </c>
      <c r="AD549" s="597"/>
      <c r="AE549" s="485">
        <f t="shared" si="218"/>
        <v>0</v>
      </c>
      <c r="AF549" s="508">
        <f t="shared" si="219"/>
        <v>0</v>
      </c>
      <c r="AG549" s="508">
        <f t="shared" si="220"/>
        <v>0</v>
      </c>
      <c r="AH549" s="508">
        <f t="shared" si="221"/>
        <v>0</v>
      </c>
      <c r="AI549" s="508">
        <f t="shared" si="222"/>
        <v>0</v>
      </c>
      <c r="AJ549" s="508">
        <f t="shared" si="223"/>
        <v>0</v>
      </c>
      <c r="AK549" s="508">
        <f t="shared" si="224"/>
        <v>0</v>
      </c>
      <c r="AM549" s="486">
        <f t="shared" si="225"/>
        <v>118</v>
      </c>
      <c r="AN549" s="117">
        <f t="shared" si="226"/>
        <v>-118</v>
      </c>
      <c r="AO549" s="487" t="e">
        <f t="shared" si="227"/>
        <v>#DIV/0!</v>
      </c>
      <c r="AP549" s="610"/>
    </row>
    <row r="550" spans="1:42" ht="15" hidden="1" customHeight="1" outlineLevel="1">
      <c r="A550" s="666">
        <v>414</v>
      </c>
      <c r="B550" s="477"/>
      <c r="C550" s="477" t="s">
        <v>1803</v>
      </c>
      <c r="D550" s="477" t="s">
        <v>1795</v>
      </c>
      <c r="E550" s="475" t="s">
        <v>1453</v>
      </c>
      <c r="F550" s="477"/>
      <c r="G550" s="579" t="s">
        <v>1953</v>
      </c>
      <c r="H550" s="482">
        <v>700</v>
      </c>
      <c r="I550" s="580"/>
      <c r="J550" s="580"/>
      <c r="K550" s="581">
        <v>35</v>
      </c>
      <c r="L550" s="581"/>
      <c r="M550" s="582"/>
      <c r="N550" s="582"/>
      <c r="O550" s="582"/>
      <c r="P550" s="582">
        <f t="shared" si="211"/>
        <v>35</v>
      </c>
      <c r="Q550" s="582">
        <f t="shared" si="212"/>
        <v>0</v>
      </c>
      <c r="R550" s="583">
        <f t="shared" si="213"/>
        <v>0</v>
      </c>
      <c r="S550" s="584"/>
      <c r="T550" s="584"/>
      <c r="U550" s="585">
        <f t="shared" si="214"/>
        <v>0</v>
      </c>
      <c r="V550" s="586" t="str">
        <f t="shared" si="215"/>
        <v/>
      </c>
      <c r="W550" s="683" t="s">
        <v>2328</v>
      </c>
      <c r="X550" s="618">
        <f t="shared" si="229"/>
        <v>0.05</v>
      </c>
      <c r="Y550" s="618" t="s">
        <v>2051</v>
      </c>
      <c r="Z550" s="624">
        <v>0</v>
      </c>
      <c r="AA550" s="361">
        <f t="shared" si="216"/>
        <v>0</v>
      </c>
      <c r="AB550" s="597"/>
      <c r="AC550" s="485">
        <f t="shared" si="217"/>
        <v>0</v>
      </c>
      <c r="AD550" s="597"/>
      <c r="AE550" s="485">
        <f t="shared" si="218"/>
        <v>0</v>
      </c>
      <c r="AF550" s="508">
        <f t="shared" si="219"/>
        <v>0</v>
      </c>
      <c r="AG550" s="508">
        <f t="shared" si="220"/>
        <v>0</v>
      </c>
      <c r="AH550" s="508">
        <f t="shared" si="221"/>
        <v>0</v>
      </c>
      <c r="AI550" s="508">
        <f t="shared" si="222"/>
        <v>0</v>
      </c>
      <c r="AJ550" s="508">
        <f t="shared" si="223"/>
        <v>0</v>
      </c>
      <c r="AK550" s="508">
        <f t="shared" si="224"/>
        <v>0</v>
      </c>
      <c r="AM550" s="486">
        <f t="shared" si="225"/>
        <v>118</v>
      </c>
      <c r="AN550" s="117">
        <f t="shared" si="226"/>
        <v>-118</v>
      </c>
      <c r="AO550" s="487" t="e">
        <f t="shared" si="227"/>
        <v>#DIV/0!</v>
      </c>
      <c r="AP550" s="610"/>
    </row>
    <row r="551" spans="1:42" ht="15" hidden="1" customHeight="1" outlineLevel="1">
      <c r="A551" s="666">
        <v>415</v>
      </c>
      <c r="B551" s="477"/>
      <c r="C551" s="477" t="s">
        <v>1821</v>
      </c>
      <c r="D551" s="477" t="s">
        <v>1822</v>
      </c>
      <c r="E551" s="475" t="s">
        <v>1453</v>
      </c>
      <c r="F551" s="477"/>
      <c r="G551" s="579" t="s">
        <v>1953</v>
      </c>
      <c r="H551" s="482">
        <v>5</v>
      </c>
      <c r="I551" s="580"/>
      <c r="J551" s="580"/>
      <c r="K551" s="581">
        <v>15</v>
      </c>
      <c r="L551" s="581"/>
      <c r="M551" s="582"/>
      <c r="N551" s="582"/>
      <c r="O551" s="582"/>
      <c r="P551" s="582">
        <f t="shared" si="211"/>
        <v>15</v>
      </c>
      <c r="Q551" s="582">
        <f t="shared" si="212"/>
        <v>0</v>
      </c>
      <c r="R551" s="583">
        <f t="shared" si="213"/>
        <v>0</v>
      </c>
      <c r="S551" s="584"/>
      <c r="T551" s="584"/>
      <c r="U551" s="585">
        <f t="shared" si="214"/>
        <v>0</v>
      </c>
      <c r="V551" s="586" t="str">
        <f t="shared" si="215"/>
        <v/>
      </c>
      <c r="W551" s="683" t="s">
        <v>2328</v>
      </c>
      <c r="X551" s="618">
        <f t="shared" si="229"/>
        <v>3</v>
      </c>
      <c r="Y551" s="618" t="s">
        <v>2051</v>
      </c>
      <c r="Z551" s="624">
        <v>0</v>
      </c>
      <c r="AA551" s="361">
        <f t="shared" si="216"/>
        <v>0</v>
      </c>
      <c r="AB551" s="597"/>
      <c r="AC551" s="485">
        <f t="shared" si="217"/>
        <v>0</v>
      </c>
      <c r="AD551" s="597"/>
      <c r="AE551" s="485">
        <f t="shared" si="218"/>
        <v>0</v>
      </c>
      <c r="AF551" s="508">
        <f t="shared" si="219"/>
        <v>0</v>
      </c>
      <c r="AG551" s="508">
        <f t="shared" si="220"/>
        <v>0</v>
      </c>
      <c r="AH551" s="508">
        <f t="shared" si="221"/>
        <v>0</v>
      </c>
      <c r="AI551" s="508">
        <f t="shared" si="222"/>
        <v>0</v>
      </c>
      <c r="AJ551" s="508">
        <f t="shared" si="223"/>
        <v>0</v>
      </c>
      <c r="AK551" s="508">
        <f t="shared" si="224"/>
        <v>0</v>
      </c>
      <c r="AM551" s="486">
        <f t="shared" si="225"/>
        <v>118</v>
      </c>
      <c r="AN551" s="117">
        <f t="shared" si="226"/>
        <v>-118</v>
      </c>
      <c r="AO551" s="487" t="e">
        <f t="shared" si="227"/>
        <v>#DIV/0!</v>
      </c>
      <c r="AP551" s="610"/>
    </row>
    <row r="552" spans="1:42" ht="15" hidden="1" customHeight="1" outlineLevel="1">
      <c r="A552" s="666">
        <v>416</v>
      </c>
      <c r="B552" s="477"/>
      <c r="C552" s="611" t="s">
        <v>1886</v>
      </c>
      <c r="D552" s="477" t="s">
        <v>1887</v>
      </c>
      <c r="E552" s="475" t="s">
        <v>1453</v>
      </c>
      <c r="F552" s="477"/>
      <c r="G552" s="579" t="s">
        <v>1953</v>
      </c>
      <c r="H552" s="482">
        <v>10</v>
      </c>
      <c r="I552" s="580"/>
      <c r="J552" s="580"/>
      <c r="K552" s="581">
        <v>60</v>
      </c>
      <c r="L552" s="581"/>
      <c r="M552" s="582"/>
      <c r="N552" s="582"/>
      <c r="O552" s="582"/>
      <c r="P552" s="582">
        <f t="shared" si="211"/>
        <v>60</v>
      </c>
      <c r="Q552" s="582">
        <f t="shared" si="212"/>
        <v>0</v>
      </c>
      <c r="R552" s="583">
        <f t="shared" si="213"/>
        <v>0</v>
      </c>
      <c r="S552" s="584"/>
      <c r="T552" s="584"/>
      <c r="U552" s="585">
        <f t="shared" si="214"/>
        <v>0</v>
      </c>
      <c r="V552" s="586" t="str">
        <f t="shared" si="215"/>
        <v/>
      </c>
      <c r="W552" s="683" t="s">
        <v>2328</v>
      </c>
      <c r="X552" s="618">
        <f t="shared" si="229"/>
        <v>6</v>
      </c>
      <c r="Y552" s="618" t="s">
        <v>2051</v>
      </c>
      <c r="Z552" s="624">
        <v>0</v>
      </c>
      <c r="AA552" s="361">
        <f t="shared" si="216"/>
        <v>0</v>
      </c>
      <c r="AB552" s="597"/>
      <c r="AC552" s="485">
        <f t="shared" si="217"/>
        <v>0</v>
      </c>
      <c r="AD552" s="597"/>
      <c r="AE552" s="485">
        <f t="shared" si="218"/>
        <v>0</v>
      </c>
      <c r="AF552" s="508">
        <f t="shared" si="219"/>
        <v>0</v>
      </c>
      <c r="AG552" s="508">
        <f t="shared" si="220"/>
        <v>0</v>
      </c>
      <c r="AH552" s="508">
        <f t="shared" si="221"/>
        <v>0</v>
      </c>
      <c r="AI552" s="508">
        <f t="shared" si="222"/>
        <v>0</v>
      </c>
      <c r="AJ552" s="508">
        <f t="shared" si="223"/>
        <v>0</v>
      </c>
      <c r="AK552" s="508">
        <f t="shared" si="224"/>
        <v>0</v>
      </c>
      <c r="AM552" s="486">
        <f t="shared" si="225"/>
        <v>118</v>
      </c>
      <c r="AN552" s="117">
        <f t="shared" si="226"/>
        <v>-118</v>
      </c>
      <c r="AO552" s="487" t="e">
        <f t="shared" si="227"/>
        <v>#DIV/0!</v>
      </c>
      <c r="AP552" s="610"/>
    </row>
    <row r="553" spans="1:42" ht="15" hidden="1" customHeight="1" outlineLevel="1">
      <c r="A553" s="666">
        <v>417</v>
      </c>
      <c r="B553" s="477"/>
      <c r="C553" s="477" t="s">
        <v>1885</v>
      </c>
      <c r="D553" s="477" t="s">
        <v>1795</v>
      </c>
      <c r="E553" s="475" t="s">
        <v>1453</v>
      </c>
      <c r="F553" s="477"/>
      <c r="G553" s="579" t="s">
        <v>1953</v>
      </c>
      <c r="H553" s="482">
        <v>7</v>
      </c>
      <c r="I553" s="580"/>
      <c r="J553" s="580"/>
      <c r="K553" s="581">
        <v>35</v>
      </c>
      <c r="L553" s="581"/>
      <c r="M553" s="582"/>
      <c r="N553" s="582"/>
      <c r="O553" s="582"/>
      <c r="P553" s="582">
        <f t="shared" si="211"/>
        <v>35</v>
      </c>
      <c r="Q553" s="582">
        <f t="shared" si="212"/>
        <v>0</v>
      </c>
      <c r="R553" s="583">
        <f t="shared" si="213"/>
        <v>0</v>
      </c>
      <c r="S553" s="584"/>
      <c r="T553" s="584"/>
      <c r="U553" s="585">
        <f t="shared" si="214"/>
        <v>0</v>
      </c>
      <c r="V553" s="586" t="str">
        <f t="shared" si="215"/>
        <v/>
      </c>
      <c r="W553" s="683" t="s">
        <v>2328</v>
      </c>
      <c r="X553" s="618">
        <f t="shared" si="229"/>
        <v>5</v>
      </c>
      <c r="Y553" s="618" t="s">
        <v>2051</v>
      </c>
      <c r="Z553" s="624">
        <v>0</v>
      </c>
      <c r="AA553" s="361">
        <f t="shared" si="216"/>
        <v>0</v>
      </c>
      <c r="AB553" s="597"/>
      <c r="AC553" s="485">
        <f t="shared" si="217"/>
        <v>0</v>
      </c>
      <c r="AD553" s="597"/>
      <c r="AE553" s="485">
        <f t="shared" si="218"/>
        <v>0</v>
      </c>
      <c r="AF553" s="508">
        <f t="shared" si="219"/>
        <v>0</v>
      </c>
      <c r="AG553" s="508">
        <f t="shared" si="220"/>
        <v>0</v>
      </c>
      <c r="AH553" s="508">
        <f t="shared" si="221"/>
        <v>0</v>
      </c>
      <c r="AI553" s="508">
        <f t="shared" si="222"/>
        <v>0</v>
      </c>
      <c r="AJ553" s="508">
        <f t="shared" si="223"/>
        <v>0</v>
      </c>
      <c r="AK553" s="508">
        <f t="shared" si="224"/>
        <v>0</v>
      </c>
      <c r="AM553" s="486">
        <f t="shared" si="225"/>
        <v>118</v>
      </c>
      <c r="AN553" s="117">
        <f t="shared" si="226"/>
        <v>-118</v>
      </c>
      <c r="AO553" s="487" t="e">
        <f t="shared" si="227"/>
        <v>#DIV/0!</v>
      </c>
      <c r="AP553" s="610"/>
    </row>
    <row r="554" spans="1:42" ht="15" hidden="1" customHeight="1" outlineLevel="1">
      <c r="A554" s="666">
        <v>418</v>
      </c>
      <c r="B554" s="477"/>
      <c r="C554" s="477" t="s">
        <v>1794</v>
      </c>
      <c r="D554" s="477" t="s">
        <v>1795</v>
      </c>
      <c r="E554" s="475" t="s">
        <v>1453</v>
      </c>
      <c r="F554" s="477"/>
      <c r="G554" s="579" t="s">
        <v>1953</v>
      </c>
      <c r="H554" s="482">
        <v>7</v>
      </c>
      <c r="I554" s="580"/>
      <c r="J554" s="580"/>
      <c r="K554" s="581">
        <v>35</v>
      </c>
      <c r="L554" s="581"/>
      <c r="M554" s="582"/>
      <c r="N554" s="582"/>
      <c r="O554" s="582"/>
      <c r="P554" s="582">
        <f t="shared" si="211"/>
        <v>35</v>
      </c>
      <c r="Q554" s="582">
        <f t="shared" si="212"/>
        <v>0</v>
      </c>
      <c r="R554" s="583">
        <f t="shared" si="213"/>
        <v>0</v>
      </c>
      <c r="S554" s="584"/>
      <c r="T554" s="584"/>
      <c r="U554" s="585">
        <f t="shared" si="214"/>
        <v>0</v>
      </c>
      <c r="V554" s="586" t="str">
        <f t="shared" si="215"/>
        <v/>
      </c>
      <c r="W554" s="683" t="s">
        <v>2328</v>
      </c>
      <c r="X554" s="618">
        <f t="shared" si="229"/>
        <v>5</v>
      </c>
      <c r="Y554" s="618" t="s">
        <v>2051</v>
      </c>
      <c r="Z554" s="624">
        <v>0</v>
      </c>
      <c r="AA554" s="361">
        <f t="shared" si="216"/>
        <v>0</v>
      </c>
      <c r="AB554" s="597"/>
      <c r="AC554" s="485">
        <f t="shared" si="217"/>
        <v>0</v>
      </c>
      <c r="AD554" s="597"/>
      <c r="AE554" s="485">
        <f t="shared" si="218"/>
        <v>0</v>
      </c>
      <c r="AF554" s="508">
        <f t="shared" si="219"/>
        <v>0</v>
      </c>
      <c r="AG554" s="508">
        <f t="shared" si="220"/>
        <v>0</v>
      </c>
      <c r="AH554" s="508">
        <f t="shared" si="221"/>
        <v>0</v>
      </c>
      <c r="AI554" s="508">
        <f t="shared" si="222"/>
        <v>0</v>
      </c>
      <c r="AJ554" s="508">
        <f t="shared" si="223"/>
        <v>0</v>
      </c>
      <c r="AK554" s="508">
        <f t="shared" si="224"/>
        <v>0</v>
      </c>
      <c r="AM554" s="486">
        <f t="shared" si="225"/>
        <v>118</v>
      </c>
      <c r="AN554" s="117">
        <f t="shared" si="226"/>
        <v>-118</v>
      </c>
      <c r="AO554" s="487" t="e">
        <f t="shared" si="227"/>
        <v>#DIV/0!</v>
      </c>
      <c r="AP554" s="610"/>
    </row>
    <row r="555" spans="1:42" ht="15" hidden="1" customHeight="1" outlineLevel="1">
      <c r="A555" s="666">
        <v>419</v>
      </c>
      <c r="B555" s="477"/>
      <c r="C555" s="477" t="s">
        <v>1865</v>
      </c>
      <c r="D555" s="477" t="s">
        <v>1866</v>
      </c>
      <c r="E555" s="475" t="s">
        <v>1453</v>
      </c>
      <c r="F555" s="477"/>
      <c r="G555" s="579" t="s">
        <v>1953</v>
      </c>
      <c r="H555" s="482">
        <v>7</v>
      </c>
      <c r="I555" s="580"/>
      <c r="J555" s="580"/>
      <c r="K555" s="581">
        <v>35</v>
      </c>
      <c r="L555" s="581"/>
      <c r="M555" s="582"/>
      <c r="N555" s="582"/>
      <c r="O555" s="582"/>
      <c r="P555" s="582">
        <f t="shared" si="211"/>
        <v>35</v>
      </c>
      <c r="Q555" s="582">
        <f t="shared" si="212"/>
        <v>0</v>
      </c>
      <c r="R555" s="583">
        <f t="shared" si="213"/>
        <v>0</v>
      </c>
      <c r="S555" s="584"/>
      <c r="T555" s="584"/>
      <c r="U555" s="585">
        <f t="shared" si="214"/>
        <v>0</v>
      </c>
      <c r="V555" s="586" t="str">
        <f t="shared" si="215"/>
        <v/>
      </c>
      <c r="W555" s="683" t="s">
        <v>2328</v>
      </c>
      <c r="X555" s="618">
        <f t="shared" si="229"/>
        <v>5</v>
      </c>
      <c r="Y555" s="618" t="s">
        <v>2051</v>
      </c>
      <c r="Z555" s="624">
        <v>0</v>
      </c>
      <c r="AA555" s="361">
        <f t="shared" si="216"/>
        <v>0</v>
      </c>
      <c r="AB555" s="597"/>
      <c r="AC555" s="485">
        <f t="shared" si="217"/>
        <v>0</v>
      </c>
      <c r="AD555" s="597"/>
      <c r="AE555" s="485">
        <f t="shared" si="218"/>
        <v>0</v>
      </c>
      <c r="AF555" s="508">
        <f t="shared" si="219"/>
        <v>0</v>
      </c>
      <c r="AG555" s="508">
        <f t="shared" si="220"/>
        <v>0</v>
      </c>
      <c r="AH555" s="508">
        <f t="shared" si="221"/>
        <v>0</v>
      </c>
      <c r="AI555" s="508">
        <f t="shared" si="222"/>
        <v>0</v>
      </c>
      <c r="AJ555" s="508">
        <f t="shared" si="223"/>
        <v>0</v>
      </c>
      <c r="AK555" s="508">
        <f t="shared" si="224"/>
        <v>0</v>
      </c>
      <c r="AM555" s="486">
        <f t="shared" si="225"/>
        <v>118</v>
      </c>
      <c r="AN555" s="117">
        <f t="shared" si="226"/>
        <v>-118</v>
      </c>
      <c r="AO555" s="487" t="e">
        <f t="shared" si="227"/>
        <v>#DIV/0!</v>
      </c>
      <c r="AP555" s="610"/>
    </row>
    <row r="556" spans="1:42" ht="15" hidden="1" customHeight="1" outlineLevel="1">
      <c r="A556" s="666">
        <v>420</v>
      </c>
      <c r="B556" s="477"/>
      <c r="C556" s="477" t="s">
        <v>1864</v>
      </c>
      <c r="D556" s="477" t="s">
        <v>1795</v>
      </c>
      <c r="E556" s="475" t="s">
        <v>1453</v>
      </c>
      <c r="F556" s="477"/>
      <c r="G556" s="579" t="s">
        <v>1953</v>
      </c>
      <c r="H556" s="482">
        <v>7</v>
      </c>
      <c r="I556" s="580"/>
      <c r="J556" s="580"/>
      <c r="K556" s="581">
        <v>35</v>
      </c>
      <c r="L556" s="581"/>
      <c r="M556" s="582"/>
      <c r="N556" s="582"/>
      <c r="O556" s="582"/>
      <c r="P556" s="582">
        <f t="shared" si="211"/>
        <v>35</v>
      </c>
      <c r="Q556" s="582">
        <f t="shared" si="212"/>
        <v>0</v>
      </c>
      <c r="R556" s="583">
        <f t="shared" si="213"/>
        <v>0</v>
      </c>
      <c r="S556" s="584"/>
      <c r="T556" s="584"/>
      <c r="U556" s="585">
        <f t="shared" si="214"/>
        <v>0</v>
      </c>
      <c r="V556" s="586" t="str">
        <f t="shared" si="215"/>
        <v/>
      </c>
      <c r="W556" s="683" t="s">
        <v>2328</v>
      </c>
      <c r="X556" s="618">
        <f t="shared" si="229"/>
        <v>5</v>
      </c>
      <c r="Y556" s="618" t="s">
        <v>2051</v>
      </c>
      <c r="Z556" s="624">
        <v>0</v>
      </c>
      <c r="AA556" s="361">
        <f t="shared" si="216"/>
        <v>0</v>
      </c>
      <c r="AB556" s="597"/>
      <c r="AC556" s="485">
        <f t="shared" si="217"/>
        <v>0</v>
      </c>
      <c r="AD556" s="597"/>
      <c r="AE556" s="485">
        <f t="shared" si="218"/>
        <v>0</v>
      </c>
      <c r="AF556" s="508">
        <f t="shared" si="219"/>
        <v>0</v>
      </c>
      <c r="AG556" s="508">
        <f t="shared" si="220"/>
        <v>0</v>
      </c>
      <c r="AH556" s="508">
        <f t="shared" si="221"/>
        <v>0</v>
      </c>
      <c r="AI556" s="508">
        <f t="shared" si="222"/>
        <v>0</v>
      </c>
      <c r="AJ556" s="508">
        <f t="shared" si="223"/>
        <v>0</v>
      </c>
      <c r="AK556" s="508">
        <f t="shared" si="224"/>
        <v>0</v>
      </c>
      <c r="AM556" s="486">
        <f t="shared" si="225"/>
        <v>118</v>
      </c>
      <c r="AN556" s="117">
        <f t="shared" si="226"/>
        <v>-118</v>
      </c>
      <c r="AO556" s="487" t="e">
        <f t="shared" si="227"/>
        <v>#DIV/0!</v>
      </c>
      <c r="AP556" s="610"/>
    </row>
    <row r="557" spans="1:42" ht="15" hidden="1" customHeight="1" outlineLevel="1">
      <c r="A557" s="666">
        <v>421</v>
      </c>
      <c r="B557" s="477"/>
      <c r="C557" s="477" t="s">
        <v>1875</v>
      </c>
      <c r="D557" s="477" t="s">
        <v>1795</v>
      </c>
      <c r="E557" s="475" t="s">
        <v>1453</v>
      </c>
      <c r="F557" s="477"/>
      <c r="G557" s="579" t="s">
        <v>1953</v>
      </c>
      <c r="H557" s="482">
        <v>7</v>
      </c>
      <c r="I557" s="580"/>
      <c r="J557" s="580"/>
      <c r="K557" s="581">
        <v>35</v>
      </c>
      <c r="L557" s="581"/>
      <c r="M557" s="582"/>
      <c r="N557" s="582"/>
      <c r="O557" s="582"/>
      <c r="P557" s="582">
        <f t="shared" si="211"/>
        <v>35</v>
      </c>
      <c r="Q557" s="582">
        <f t="shared" si="212"/>
        <v>0</v>
      </c>
      <c r="R557" s="583">
        <f t="shared" si="213"/>
        <v>0</v>
      </c>
      <c r="S557" s="584"/>
      <c r="T557" s="584"/>
      <c r="U557" s="585">
        <f t="shared" si="214"/>
        <v>0</v>
      </c>
      <c r="V557" s="586" t="str">
        <f t="shared" si="215"/>
        <v/>
      </c>
      <c r="W557" s="683" t="s">
        <v>2328</v>
      </c>
      <c r="X557" s="618">
        <f t="shared" si="229"/>
        <v>5</v>
      </c>
      <c r="Y557" s="618" t="s">
        <v>2051</v>
      </c>
      <c r="Z557" s="624">
        <v>0</v>
      </c>
      <c r="AA557" s="361">
        <f t="shared" si="216"/>
        <v>0</v>
      </c>
      <c r="AB557" s="597"/>
      <c r="AC557" s="485">
        <f t="shared" si="217"/>
        <v>0</v>
      </c>
      <c r="AD557" s="597"/>
      <c r="AE557" s="485">
        <f t="shared" si="218"/>
        <v>0</v>
      </c>
      <c r="AF557" s="508">
        <f t="shared" si="219"/>
        <v>0</v>
      </c>
      <c r="AG557" s="508">
        <f t="shared" si="220"/>
        <v>0</v>
      </c>
      <c r="AH557" s="508">
        <f t="shared" si="221"/>
        <v>0</v>
      </c>
      <c r="AI557" s="508">
        <f t="shared" si="222"/>
        <v>0</v>
      </c>
      <c r="AJ557" s="508">
        <f t="shared" si="223"/>
        <v>0</v>
      </c>
      <c r="AK557" s="508">
        <f t="shared" si="224"/>
        <v>0</v>
      </c>
      <c r="AM557" s="486">
        <f t="shared" si="225"/>
        <v>118</v>
      </c>
      <c r="AN557" s="117">
        <f t="shared" si="226"/>
        <v>-118</v>
      </c>
      <c r="AO557" s="487" t="e">
        <f t="shared" si="227"/>
        <v>#DIV/0!</v>
      </c>
      <c r="AP557" s="610"/>
    </row>
    <row r="558" spans="1:42" ht="15" hidden="1" customHeight="1" outlineLevel="1">
      <c r="A558" s="666">
        <v>422</v>
      </c>
      <c r="B558" s="477"/>
      <c r="C558" s="477" t="s">
        <v>1842</v>
      </c>
      <c r="D558" s="477" t="s">
        <v>1843</v>
      </c>
      <c r="E558" s="475" t="s">
        <v>1453</v>
      </c>
      <c r="F558" s="477"/>
      <c r="G558" s="579" t="s">
        <v>1953</v>
      </c>
      <c r="H558" s="482">
        <v>300</v>
      </c>
      <c r="I558" s="580"/>
      <c r="J558" s="580"/>
      <c r="K558" s="581">
        <v>41.03</v>
      </c>
      <c r="L558" s="581"/>
      <c r="M558" s="582"/>
      <c r="N558" s="582"/>
      <c r="O558" s="582"/>
      <c r="P558" s="582">
        <f t="shared" si="211"/>
        <v>41.03</v>
      </c>
      <c r="Q558" s="582">
        <f t="shared" si="212"/>
        <v>0</v>
      </c>
      <c r="R558" s="583">
        <f t="shared" si="213"/>
        <v>0</v>
      </c>
      <c r="S558" s="584"/>
      <c r="T558" s="584"/>
      <c r="U558" s="585">
        <f t="shared" si="214"/>
        <v>0</v>
      </c>
      <c r="V558" s="586" t="str">
        <f t="shared" si="215"/>
        <v/>
      </c>
      <c r="W558" s="683" t="s">
        <v>2328</v>
      </c>
      <c r="X558" s="619">
        <f>P558*1.17/H558</f>
        <v>0.16</v>
      </c>
      <c r="Y558" s="618" t="s">
        <v>2051</v>
      </c>
      <c r="Z558" s="624">
        <v>0</v>
      </c>
      <c r="AA558" s="361">
        <f t="shared" si="216"/>
        <v>0</v>
      </c>
      <c r="AB558" s="597"/>
      <c r="AC558" s="485">
        <f t="shared" si="217"/>
        <v>0</v>
      </c>
      <c r="AD558" s="597"/>
      <c r="AE558" s="485">
        <f t="shared" si="218"/>
        <v>0</v>
      </c>
      <c r="AF558" s="508">
        <f t="shared" si="219"/>
        <v>0</v>
      </c>
      <c r="AG558" s="508">
        <f t="shared" si="220"/>
        <v>0</v>
      </c>
      <c r="AH558" s="508">
        <f t="shared" si="221"/>
        <v>0</v>
      </c>
      <c r="AI558" s="508">
        <f t="shared" si="222"/>
        <v>0</v>
      </c>
      <c r="AJ558" s="508">
        <f t="shared" si="223"/>
        <v>0</v>
      </c>
      <c r="AK558" s="508">
        <f t="shared" si="224"/>
        <v>0</v>
      </c>
      <c r="AM558" s="486">
        <f t="shared" si="225"/>
        <v>118</v>
      </c>
      <c r="AN558" s="117">
        <f t="shared" si="226"/>
        <v>-118</v>
      </c>
      <c r="AO558" s="487" t="e">
        <f t="shared" si="227"/>
        <v>#DIV/0!</v>
      </c>
      <c r="AP558" s="610"/>
    </row>
    <row r="559" spans="1:42" ht="15" hidden="1" customHeight="1" outlineLevel="1">
      <c r="A559" s="666">
        <v>423</v>
      </c>
      <c r="B559" s="477"/>
      <c r="C559" s="477" t="s">
        <v>1878</v>
      </c>
      <c r="D559" s="477" t="s">
        <v>1879</v>
      </c>
      <c r="E559" s="475" t="s">
        <v>1453</v>
      </c>
      <c r="F559" s="477"/>
      <c r="G559" s="579" t="s">
        <v>1914</v>
      </c>
      <c r="H559" s="482">
        <v>300</v>
      </c>
      <c r="I559" s="580"/>
      <c r="J559" s="580"/>
      <c r="K559" s="581">
        <v>307.69</v>
      </c>
      <c r="L559" s="581"/>
      <c r="M559" s="582"/>
      <c r="N559" s="582"/>
      <c r="O559" s="582"/>
      <c r="P559" s="582">
        <f t="shared" si="211"/>
        <v>307.69</v>
      </c>
      <c r="Q559" s="582">
        <f t="shared" si="212"/>
        <v>0</v>
      </c>
      <c r="R559" s="583">
        <f t="shared" si="213"/>
        <v>0</v>
      </c>
      <c r="S559" s="584"/>
      <c r="T559" s="584"/>
      <c r="U559" s="585">
        <f t="shared" si="214"/>
        <v>0</v>
      </c>
      <c r="V559" s="586" t="str">
        <f t="shared" si="215"/>
        <v/>
      </c>
      <c r="W559" s="683" t="s">
        <v>2328</v>
      </c>
      <c r="X559" s="619">
        <f>P559*1.17/H559</f>
        <v>1.2</v>
      </c>
      <c r="Y559" s="618" t="s">
        <v>2051</v>
      </c>
      <c r="Z559" s="624">
        <v>0</v>
      </c>
      <c r="AA559" s="361">
        <f t="shared" si="216"/>
        <v>0</v>
      </c>
      <c r="AB559" s="597"/>
      <c r="AC559" s="485">
        <f t="shared" si="217"/>
        <v>0</v>
      </c>
      <c r="AD559" s="597"/>
      <c r="AE559" s="485">
        <f t="shared" si="218"/>
        <v>0</v>
      </c>
      <c r="AF559" s="508">
        <f t="shared" si="219"/>
        <v>0</v>
      </c>
      <c r="AG559" s="508">
        <f t="shared" si="220"/>
        <v>0</v>
      </c>
      <c r="AH559" s="508">
        <f t="shared" si="221"/>
        <v>0</v>
      </c>
      <c r="AI559" s="508">
        <f t="shared" si="222"/>
        <v>0</v>
      </c>
      <c r="AJ559" s="508">
        <f t="shared" si="223"/>
        <v>0</v>
      </c>
      <c r="AK559" s="508">
        <f t="shared" si="224"/>
        <v>0</v>
      </c>
      <c r="AM559" s="486">
        <f t="shared" si="225"/>
        <v>118</v>
      </c>
      <c r="AN559" s="117">
        <f t="shared" si="226"/>
        <v>-118</v>
      </c>
      <c r="AO559" s="487" t="e">
        <f t="shared" si="227"/>
        <v>#DIV/0!</v>
      </c>
      <c r="AP559" s="610"/>
    </row>
    <row r="560" spans="1:42" ht="15" hidden="1" customHeight="1" outlineLevel="1">
      <c r="A560" s="666">
        <v>424</v>
      </c>
      <c r="B560" s="477"/>
      <c r="C560" s="477" t="s">
        <v>1831</v>
      </c>
      <c r="D560" s="477" t="s">
        <v>1795</v>
      </c>
      <c r="E560" s="475" t="s">
        <v>1453</v>
      </c>
      <c r="F560" s="477"/>
      <c r="G560" s="579" t="s">
        <v>1953</v>
      </c>
      <c r="H560" s="482">
        <v>7</v>
      </c>
      <c r="I560" s="580"/>
      <c r="J560" s="580"/>
      <c r="K560" s="581">
        <v>35</v>
      </c>
      <c r="L560" s="581"/>
      <c r="M560" s="582"/>
      <c r="N560" s="582"/>
      <c r="O560" s="582"/>
      <c r="P560" s="582">
        <f t="shared" si="211"/>
        <v>35</v>
      </c>
      <c r="Q560" s="582">
        <f t="shared" si="212"/>
        <v>0</v>
      </c>
      <c r="R560" s="583">
        <f t="shared" si="213"/>
        <v>0</v>
      </c>
      <c r="S560" s="584"/>
      <c r="T560" s="584"/>
      <c r="U560" s="585">
        <f t="shared" si="214"/>
        <v>0</v>
      </c>
      <c r="V560" s="586" t="str">
        <f t="shared" si="215"/>
        <v/>
      </c>
      <c r="W560" s="683" t="s">
        <v>2328</v>
      </c>
      <c r="X560" s="618">
        <f t="shared" ref="X560:X565" si="230">P560/H560</f>
        <v>5</v>
      </c>
      <c r="Y560" s="618" t="s">
        <v>2051</v>
      </c>
      <c r="Z560" s="624">
        <v>0</v>
      </c>
      <c r="AA560" s="361">
        <f t="shared" si="216"/>
        <v>0</v>
      </c>
      <c r="AB560" s="597"/>
      <c r="AC560" s="485">
        <f t="shared" si="217"/>
        <v>0</v>
      </c>
      <c r="AD560" s="597"/>
      <c r="AE560" s="485">
        <f t="shared" si="218"/>
        <v>0</v>
      </c>
      <c r="AF560" s="508">
        <f t="shared" si="219"/>
        <v>0</v>
      </c>
      <c r="AG560" s="508">
        <f t="shared" si="220"/>
        <v>0</v>
      </c>
      <c r="AH560" s="508">
        <f t="shared" si="221"/>
        <v>0</v>
      </c>
      <c r="AI560" s="508">
        <f t="shared" si="222"/>
        <v>0</v>
      </c>
      <c r="AJ560" s="508">
        <f t="shared" si="223"/>
        <v>0</v>
      </c>
      <c r="AK560" s="508">
        <f t="shared" si="224"/>
        <v>0</v>
      </c>
      <c r="AM560" s="486">
        <f t="shared" si="225"/>
        <v>118</v>
      </c>
      <c r="AN560" s="117">
        <f t="shared" si="226"/>
        <v>-118</v>
      </c>
      <c r="AO560" s="487" t="e">
        <f t="shared" si="227"/>
        <v>#DIV/0!</v>
      </c>
      <c r="AP560" s="610"/>
    </row>
    <row r="561" spans="1:42" ht="15" hidden="1" customHeight="1" outlineLevel="1">
      <c r="A561" s="666">
        <v>425</v>
      </c>
      <c r="B561" s="477"/>
      <c r="C561" s="477" t="s">
        <v>1869</v>
      </c>
      <c r="D561" s="477" t="s">
        <v>1870</v>
      </c>
      <c r="E561" s="475" t="s">
        <v>1453</v>
      </c>
      <c r="F561" s="477"/>
      <c r="G561" s="579" t="s">
        <v>1953</v>
      </c>
      <c r="H561" s="482">
        <v>7</v>
      </c>
      <c r="I561" s="580"/>
      <c r="J561" s="580"/>
      <c r="K561" s="581">
        <v>35</v>
      </c>
      <c r="L561" s="581"/>
      <c r="M561" s="582"/>
      <c r="N561" s="582"/>
      <c r="O561" s="582"/>
      <c r="P561" s="582">
        <f t="shared" si="211"/>
        <v>35</v>
      </c>
      <c r="Q561" s="582">
        <f t="shared" si="212"/>
        <v>0</v>
      </c>
      <c r="R561" s="583">
        <f t="shared" si="213"/>
        <v>0</v>
      </c>
      <c r="S561" s="584"/>
      <c r="T561" s="584"/>
      <c r="U561" s="585">
        <f t="shared" si="214"/>
        <v>0</v>
      </c>
      <c r="V561" s="586" t="str">
        <f t="shared" si="215"/>
        <v/>
      </c>
      <c r="W561" s="683" t="s">
        <v>2328</v>
      </c>
      <c r="X561" s="618">
        <f t="shared" si="230"/>
        <v>5</v>
      </c>
      <c r="Y561" s="618" t="s">
        <v>2051</v>
      </c>
      <c r="Z561" s="624">
        <v>0</v>
      </c>
      <c r="AA561" s="361">
        <f t="shared" si="216"/>
        <v>0</v>
      </c>
      <c r="AB561" s="597"/>
      <c r="AC561" s="485">
        <f t="shared" si="217"/>
        <v>0</v>
      </c>
      <c r="AD561" s="597"/>
      <c r="AE561" s="485">
        <f t="shared" si="218"/>
        <v>0</v>
      </c>
      <c r="AF561" s="508">
        <f t="shared" si="219"/>
        <v>0</v>
      </c>
      <c r="AG561" s="508">
        <f t="shared" si="220"/>
        <v>0</v>
      </c>
      <c r="AH561" s="508">
        <f t="shared" si="221"/>
        <v>0</v>
      </c>
      <c r="AI561" s="508">
        <f t="shared" si="222"/>
        <v>0</v>
      </c>
      <c r="AJ561" s="508">
        <f t="shared" si="223"/>
        <v>0</v>
      </c>
      <c r="AK561" s="508">
        <f t="shared" si="224"/>
        <v>0</v>
      </c>
      <c r="AM561" s="486">
        <f t="shared" si="225"/>
        <v>118</v>
      </c>
      <c r="AN561" s="117">
        <f t="shared" si="226"/>
        <v>-118</v>
      </c>
      <c r="AO561" s="487" t="e">
        <f t="shared" si="227"/>
        <v>#DIV/0!</v>
      </c>
      <c r="AP561" s="610"/>
    </row>
    <row r="562" spans="1:42" ht="15" hidden="1" customHeight="1" outlineLevel="1">
      <c r="A562" s="666">
        <v>426</v>
      </c>
      <c r="B562" s="477"/>
      <c r="C562" s="477" t="s">
        <v>1860</v>
      </c>
      <c r="D562" s="477" t="s">
        <v>1861</v>
      </c>
      <c r="E562" s="475" t="s">
        <v>1453</v>
      </c>
      <c r="F562" s="477"/>
      <c r="G562" s="579" t="s">
        <v>1953</v>
      </c>
      <c r="H562" s="482">
        <v>7</v>
      </c>
      <c r="I562" s="580"/>
      <c r="J562" s="580"/>
      <c r="K562" s="581">
        <v>35</v>
      </c>
      <c r="L562" s="581"/>
      <c r="M562" s="582"/>
      <c r="N562" s="582"/>
      <c r="O562" s="582"/>
      <c r="P562" s="582">
        <f t="shared" si="211"/>
        <v>35</v>
      </c>
      <c r="Q562" s="582">
        <f t="shared" si="212"/>
        <v>0</v>
      </c>
      <c r="R562" s="583">
        <f t="shared" si="213"/>
        <v>0</v>
      </c>
      <c r="S562" s="584"/>
      <c r="T562" s="584"/>
      <c r="U562" s="585">
        <f t="shared" si="214"/>
        <v>0</v>
      </c>
      <c r="V562" s="586" t="str">
        <f t="shared" si="215"/>
        <v/>
      </c>
      <c r="W562" s="683" t="s">
        <v>2328</v>
      </c>
      <c r="X562" s="618">
        <f t="shared" si="230"/>
        <v>5</v>
      </c>
      <c r="Y562" s="618" t="s">
        <v>2051</v>
      </c>
      <c r="Z562" s="624">
        <v>0</v>
      </c>
      <c r="AA562" s="361">
        <f t="shared" si="216"/>
        <v>0</v>
      </c>
      <c r="AB562" s="597"/>
      <c r="AC562" s="485">
        <f t="shared" si="217"/>
        <v>0</v>
      </c>
      <c r="AD562" s="597"/>
      <c r="AE562" s="485">
        <f t="shared" si="218"/>
        <v>0</v>
      </c>
      <c r="AF562" s="508">
        <f t="shared" si="219"/>
        <v>0</v>
      </c>
      <c r="AG562" s="508">
        <f t="shared" si="220"/>
        <v>0</v>
      </c>
      <c r="AH562" s="508">
        <f t="shared" si="221"/>
        <v>0</v>
      </c>
      <c r="AI562" s="508">
        <f t="shared" si="222"/>
        <v>0</v>
      </c>
      <c r="AJ562" s="508">
        <f t="shared" si="223"/>
        <v>0</v>
      </c>
      <c r="AK562" s="508">
        <f t="shared" si="224"/>
        <v>0</v>
      </c>
      <c r="AM562" s="486">
        <f t="shared" si="225"/>
        <v>118</v>
      </c>
      <c r="AN562" s="117">
        <f t="shared" si="226"/>
        <v>-118</v>
      </c>
      <c r="AO562" s="487" t="e">
        <f t="shared" si="227"/>
        <v>#DIV/0!</v>
      </c>
      <c r="AP562" s="610"/>
    </row>
    <row r="563" spans="1:42" ht="15" hidden="1" customHeight="1" outlineLevel="1">
      <c r="A563" s="666">
        <v>427</v>
      </c>
      <c r="B563" s="477"/>
      <c r="C563" s="477" t="s">
        <v>1823</v>
      </c>
      <c r="D563" s="477" t="s">
        <v>1795</v>
      </c>
      <c r="E563" s="475" t="s">
        <v>1453</v>
      </c>
      <c r="F563" s="477"/>
      <c r="G563" s="579" t="s">
        <v>1953</v>
      </c>
      <c r="H563" s="482">
        <v>7</v>
      </c>
      <c r="I563" s="580"/>
      <c r="J563" s="580"/>
      <c r="K563" s="581">
        <v>35</v>
      </c>
      <c r="L563" s="581"/>
      <c r="M563" s="582"/>
      <c r="N563" s="582"/>
      <c r="O563" s="582"/>
      <c r="P563" s="582">
        <f t="shared" si="211"/>
        <v>35</v>
      </c>
      <c r="Q563" s="582">
        <f t="shared" si="212"/>
        <v>0</v>
      </c>
      <c r="R563" s="583">
        <f t="shared" si="213"/>
        <v>0</v>
      </c>
      <c r="S563" s="584"/>
      <c r="T563" s="584"/>
      <c r="U563" s="585">
        <f t="shared" si="214"/>
        <v>0</v>
      </c>
      <c r="V563" s="586" t="str">
        <f t="shared" si="215"/>
        <v/>
      </c>
      <c r="W563" s="683" t="s">
        <v>2328</v>
      </c>
      <c r="X563" s="618">
        <f t="shared" si="230"/>
        <v>5</v>
      </c>
      <c r="Y563" s="618" t="s">
        <v>2051</v>
      </c>
      <c r="Z563" s="624">
        <v>0</v>
      </c>
      <c r="AA563" s="361">
        <f t="shared" si="216"/>
        <v>0</v>
      </c>
      <c r="AB563" s="597"/>
      <c r="AC563" s="485">
        <f t="shared" si="217"/>
        <v>0</v>
      </c>
      <c r="AD563" s="597"/>
      <c r="AE563" s="485">
        <f t="shared" si="218"/>
        <v>0</v>
      </c>
      <c r="AF563" s="508">
        <f t="shared" si="219"/>
        <v>0</v>
      </c>
      <c r="AG563" s="508">
        <f t="shared" si="220"/>
        <v>0</v>
      </c>
      <c r="AH563" s="508">
        <f t="shared" si="221"/>
        <v>0</v>
      </c>
      <c r="AI563" s="508">
        <f t="shared" si="222"/>
        <v>0</v>
      </c>
      <c r="AJ563" s="508">
        <f t="shared" si="223"/>
        <v>0</v>
      </c>
      <c r="AK563" s="508">
        <f t="shared" si="224"/>
        <v>0</v>
      </c>
      <c r="AM563" s="486">
        <f t="shared" si="225"/>
        <v>118</v>
      </c>
      <c r="AN563" s="117">
        <f t="shared" si="226"/>
        <v>-118</v>
      </c>
      <c r="AO563" s="487" t="e">
        <f t="shared" si="227"/>
        <v>#DIV/0!</v>
      </c>
      <c r="AP563" s="610"/>
    </row>
    <row r="564" spans="1:42" ht="15" hidden="1" customHeight="1" outlineLevel="1">
      <c r="A564" s="666">
        <v>428</v>
      </c>
      <c r="B564" s="477"/>
      <c r="C564" s="477" t="s">
        <v>1888</v>
      </c>
      <c r="D564" s="477" t="s">
        <v>1889</v>
      </c>
      <c r="E564" s="475" t="s">
        <v>1453</v>
      </c>
      <c r="F564" s="477"/>
      <c r="G564" s="579" t="s">
        <v>1953</v>
      </c>
      <c r="H564" s="482">
        <v>10</v>
      </c>
      <c r="I564" s="580"/>
      <c r="J564" s="580"/>
      <c r="K564" s="581">
        <v>60</v>
      </c>
      <c r="L564" s="581"/>
      <c r="M564" s="582"/>
      <c r="N564" s="582"/>
      <c r="O564" s="582"/>
      <c r="P564" s="582">
        <f t="shared" ref="P564:P595" si="231">K564+N564</f>
        <v>60</v>
      </c>
      <c r="Q564" s="582">
        <f t="shared" ref="Q564:Q595" si="232">L564+O564</f>
        <v>0</v>
      </c>
      <c r="R564" s="583">
        <f t="shared" ref="R564:R595" si="233">AK564</f>
        <v>0</v>
      </c>
      <c r="S564" s="584"/>
      <c r="T564" s="584"/>
      <c r="U564" s="585">
        <f t="shared" ref="U564:U595" si="234">IF(S564="",R564,ROUND(R564*S564/100,0))</f>
        <v>0</v>
      </c>
      <c r="V564" s="586" t="str">
        <f t="shared" ref="V564:V595" si="235">IF(Q564=0,"",(U564-Q564)/Q564*100)</f>
        <v/>
      </c>
      <c r="W564" s="683" t="s">
        <v>2328</v>
      </c>
      <c r="X564" s="618">
        <f t="shared" si="230"/>
        <v>6</v>
      </c>
      <c r="Y564" s="618" t="s">
        <v>2051</v>
      </c>
      <c r="Z564" s="624">
        <v>0</v>
      </c>
      <c r="AA564" s="361">
        <f t="shared" ref="AA564:AA595" si="236">Z564/1.17</f>
        <v>0</v>
      </c>
      <c r="AB564" s="597"/>
      <c r="AC564" s="485">
        <f t="shared" ref="AC564:AC595" si="237">Z564*AB564</f>
        <v>0</v>
      </c>
      <c r="AD564" s="597"/>
      <c r="AE564" s="485">
        <f t="shared" ref="AE564:AE595" si="238">Z564*AD564</f>
        <v>0</v>
      </c>
      <c r="AF564" s="508">
        <f t="shared" ref="AF564:AF595" si="239">(Z564+AC564+AE564)*AF$4</f>
        <v>0</v>
      </c>
      <c r="AG564" s="508">
        <f t="shared" ref="AG564:AG595" si="240">(Z564+AC564+AE564)*AG$4</f>
        <v>0</v>
      </c>
      <c r="AH564" s="508">
        <f t="shared" ref="AH564:AH595" si="241">Z564+AC564+AE564+AF564</f>
        <v>0</v>
      </c>
      <c r="AI564" s="508">
        <f t="shared" ref="AI564:AI595" si="242">AH564*AI$3*AI$4/2</f>
        <v>0</v>
      </c>
      <c r="AJ564" s="508">
        <f t="shared" ref="AJ564:AJ595" si="243">Z564*0.17/1.17+AC564*0.11/1.11+AE564*0.11/1.11+AF564-AG564</f>
        <v>0</v>
      </c>
      <c r="AK564" s="508">
        <f t="shared" ref="AK564:AK595" si="244">ROUND((Z564+AC564+AE564+AF564+AI564-AJ564)*H564,-2)</f>
        <v>0</v>
      </c>
      <c r="AM564" s="486">
        <f t="shared" ref="AM564:AM595" si="245">(AM$4-J564)/365</f>
        <v>118</v>
      </c>
      <c r="AN564" s="117">
        <f t="shared" ref="AN564:AN595" si="246">ROUND((AL564-AM564),0)</f>
        <v>-118</v>
      </c>
      <c r="AO564" s="487" t="e">
        <f t="shared" ref="AO564:AO595" si="247">AN564/(AM564+AN564)*100</f>
        <v>#DIV/0!</v>
      </c>
      <c r="AP564" s="610"/>
    </row>
    <row r="565" spans="1:42" ht="15" hidden="1" customHeight="1" outlineLevel="1">
      <c r="A565" s="666">
        <v>429</v>
      </c>
      <c r="B565" s="477"/>
      <c r="C565" s="477" t="s">
        <v>1837</v>
      </c>
      <c r="D565" s="477" t="s">
        <v>1795</v>
      </c>
      <c r="E565" s="475" t="s">
        <v>1453</v>
      </c>
      <c r="F565" s="477"/>
      <c r="G565" s="579" t="s">
        <v>1953</v>
      </c>
      <c r="H565" s="482">
        <v>700</v>
      </c>
      <c r="I565" s="580"/>
      <c r="J565" s="580"/>
      <c r="K565" s="581">
        <v>35</v>
      </c>
      <c r="L565" s="581"/>
      <c r="M565" s="582"/>
      <c r="N565" s="582"/>
      <c r="O565" s="582"/>
      <c r="P565" s="582">
        <f t="shared" si="231"/>
        <v>35</v>
      </c>
      <c r="Q565" s="582">
        <f t="shared" si="232"/>
        <v>0</v>
      </c>
      <c r="R565" s="583">
        <f t="shared" si="233"/>
        <v>0</v>
      </c>
      <c r="S565" s="584"/>
      <c r="T565" s="584"/>
      <c r="U565" s="585">
        <f t="shared" si="234"/>
        <v>0</v>
      </c>
      <c r="V565" s="586" t="str">
        <f t="shared" si="235"/>
        <v/>
      </c>
      <c r="W565" s="683" t="s">
        <v>2328</v>
      </c>
      <c r="X565" s="618">
        <f t="shared" si="230"/>
        <v>0.05</v>
      </c>
      <c r="Y565" s="618" t="s">
        <v>2051</v>
      </c>
      <c r="Z565" s="624">
        <v>0</v>
      </c>
      <c r="AA565" s="361">
        <f t="shared" si="236"/>
        <v>0</v>
      </c>
      <c r="AB565" s="597"/>
      <c r="AC565" s="485">
        <f t="shared" si="237"/>
        <v>0</v>
      </c>
      <c r="AD565" s="597"/>
      <c r="AE565" s="485">
        <f t="shared" si="238"/>
        <v>0</v>
      </c>
      <c r="AF565" s="508">
        <f t="shared" si="239"/>
        <v>0</v>
      </c>
      <c r="AG565" s="508">
        <f t="shared" si="240"/>
        <v>0</v>
      </c>
      <c r="AH565" s="508">
        <f t="shared" si="241"/>
        <v>0</v>
      </c>
      <c r="AI565" s="508">
        <f t="shared" si="242"/>
        <v>0</v>
      </c>
      <c r="AJ565" s="508">
        <f t="shared" si="243"/>
        <v>0</v>
      </c>
      <c r="AK565" s="508">
        <f t="shared" si="244"/>
        <v>0</v>
      </c>
      <c r="AM565" s="486">
        <f t="shared" si="245"/>
        <v>118</v>
      </c>
      <c r="AN565" s="117">
        <f t="shared" si="246"/>
        <v>-118</v>
      </c>
      <c r="AO565" s="487" t="e">
        <f t="shared" si="247"/>
        <v>#DIV/0!</v>
      </c>
      <c r="AP565" s="610"/>
    </row>
    <row r="566" spans="1:42" ht="15" hidden="1" customHeight="1" outlineLevel="1">
      <c r="A566" s="666">
        <v>430</v>
      </c>
      <c r="B566" s="477"/>
      <c r="C566" s="611" t="s">
        <v>1838</v>
      </c>
      <c r="D566" s="477" t="s">
        <v>1839</v>
      </c>
      <c r="E566" s="475" t="s">
        <v>1453</v>
      </c>
      <c r="F566" s="477"/>
      <c r="G566" s="579" t="s">
        <v>1914</v>
      </c>
      <c r="H566" s="482">
        <v>1</v>
      </c>
      <c r="I566" s="580"/>
      <c r="J566" s="580"/>
      <c r="K566" s="581">
        <v>478.63</v>
      </c>
      <c r="L566" s="581"/>
      <c r="M566" s="582"/>
      <c r="N566" s="582"/>
      <c r="O566" s="582"/>
      <c r="P566" s="582">
        <f t="shared" si="231"/>
        <v>478.63</v>
      </c>
      <c r="Q566" s="582">
        <f t="shared" si="232"/>
        <v>0</v>
      </c>
      <c r="R566" s="583">
        <f t="shared" si="233"/>
        <v>0</v>
      </c>
      <c r="S566" s="584"/>
      <c r="T566" s="584"/>
      <c r="U566" s="585">
        <f t="shared" si="234"/>
        <v>0</v>
      </c>
      <c r="V566" s="586" t="str">
        <f t="shared" si="235"/>
        <v/>
      </c>
      <c r="W566" s="683" t="s">
        <v>2328</v>
      </c>
      <c r="X566" s="619">
        <f t="shared" ref="X566:X597" si="248">P566*1.17/H566</f>
        <v>560</v>
      </c>
      <c r="Y566" s="618" t="s">
        <v>2051</v>
      </c>
      <c r="Z566" s="624">
        <v>0</v>
      </c>
      <c r="AA566" s="361">
        <f t="shared" si="236"/>
        <v>0</v>
      </c>
      <c r="AB566" s="597"/>
      <c r="AC566" s="485">
        <f t="shared" si="237"/>
        <v>0</v>
      </c>
      <c r="AD566" s="597"/>
      <c r="AE566" s="485">
        <f t="shared" si="238"/>
        <v>0</v>
      </c>
      <c r="AF566" s="508">
        <f t="shared" si="239"/>
        <v>0</v>
      </c>
      <c r="AG566" s="508">
        <f t="shared" si="240"/>
        <v>0</v>
      </c>
      <c r="AH566" s="508">
        <f t="shared" si="241"/>
        <v>0</v>
      </c>
      <c r="AI566" s="508">
        <f t="shared" si="242"/>
        <v>0</v>
      </c>
      <c r="AJ566" s="508">
        <f t="shared" si="243"/>
        <v>0</v>
      </c>
      <c r="AK566" s="508">
        <f t="shared" si="244"/>
        <v>0</v>
      </c>
      <c r="AM566" s="486">
        <f t="shared" si="245"/>
        <v>118</v>
      </c>
      <c r="AN566" s="117">
        <f t="shared" si="246"/>
        <v>-118</v>
      </c>
      <c r="AO566" s="487" t="e">
        <f t="shared" si="247"/>
        <v>#DIV/0!</v>
      </c>
      <c r="AP566" s="610"/>
    </row>
    <row r="567" spans="1:42" ht="15" hidden="1" customHeight="1" outlineLevel="1">
      <c r="A567" s="666">
        <v>431</v>
      </c>
      <c r="B567" s="477"/>
      <c r="C567" s="477" t="s">
        <v>1891</v>
      </c>
      <c r="D567" s="477" t="s">
        <v>1892</v>
      </c>
      <c r="E567" s="475" t="s">
        <v>1453</v>
      </c>
      <c r="F567" s="477" t="s">
        <v>1476</v>
      </c>
      <c r="G567" s="579" t="s">
        <v>1955</v>
      </c>
      <c r="H567" s="482">
        <v>4</v>
      </c>
      <c r="I567" s="580"/>
      <c r="J567" s="580"/>
      <c r="K567" s="581">
        <v>35.9</v>
      </c>
      <c r="L567" s="581"/>
      <c r="M567" s="582"/>
      <c r="N567" s="582"/>
      <c r="O567" s="582"/>
      <c r="P567" s="582">
        <f t="shared" si="231"/>
        <v>35.9</v>
      </c>
      <c r="Q567" s="582">
        <f t="shared" si="232"/>
        <v>0</v>
      </c>
      <c r="R567" s="583">
        <f t="shared" si="233"/>
        <v>0</v>
      </c>
      <c r="S567" s="584"/>
      <c r="T567" s="584"/>
      <c r="U567" s="585">
        <f t="shared" si="234"/>
        <v>0</v>
      </c>
      <c r="V567" s="586" t="str">
        <f t="shared" si="235"/>
        <v/>
      </c>
      <c r="W567" s="683" t="s">
        <v>2328</v>
      </c>
      <c r="X567" s="619">
        <f t="shared" si="248"/>
        <v>10.5</v>
      </c>
      <c r="Y567" s="618" t="s">
        <v>2051</v>
      </c>
      <c r="Z567" s="624">
        <v>0</v>
      </c>
      <c r="AA567" s="361">
        <f t="shared" si="236"/>
        <v>0</v>
      </c>
      <c r="AB567" s="597"/>
      <c r="AC567" s="485">
        <f t="shared" si="237"/>
        <v>0</v>
      </c>
      <c r="AD567" s="597"/>
      <c r="AE567" s="485">
        <f t="shared" si="238"/>
        <v>0</v>
      </c>
      <c r="AF567" s="508">
        <f t="shared" si="239"/>
        <v>0</v>
      </c>
      <c r="AG567" s="508">
        <f t="shared" si="240"/>
        <v>0</v>
      </c>
      <c r="AH567" s="508">
        <f t="shared" si="241"/>
        <v>0</v>
      </c>
      <c r="AI567" s="508">
        <f t="shared" si="242"/>
        <v>0</v>
      </c>
      <c r="AJ567" s="508">
        <f t="shared" si="243"/>
        <v>0</v>
      </c>
      <c r="AK567" s="508">
        <f t="shared" si="244"/>
        <v>0</v>
      </c>
      <c r="AM567" s="486">
        <f t="shared" si="245"/>
        <v>118</v>
      </c>
      <c r="AN567" s="117">
        <f t="shared" si="246"/>
        <v>-118</v>
      </c>
      <c r="AO567" s="487" t="e">
        <f t="shared" si="247"/>
        <v>#DIV/0!</v>
      </c>
      <c r="AP567" s="610"/>
    </row>
    <row r="568" spans="1:42" ht="15" hidden="1" customHeight="1" outlineLevel="1">
      <c r="A568" s="666">
        <v>432</v>
      </c>
      <c r="B568" s="477"/>
      <c r="C568" s="611" t="s">
        <v>1906</v>
      </c>
      <c r="D568" s="477" t="s">
        <v>1907</v>
      </c>
      <c r="E568" s="475" t="s">
        <v>1453</v>
      </c>
      <c r="F568" s="477" t="s">
        <v>1476</v>
      </c>
      <c r="G568" s="579" t="s">
        <v>1957</v>
      </c>
      <c r="H568" s="482">
        <v>11</v>
      </c>
      <c r="I568" s="580"/>
      <c r="J568" s="580"/>
      <c r="K568" s="581">
        <v>5.09</v>
      </c>
      <c r="L568" s="581"/>
      <c r="M568" s="582"/>
      <c r="N568" s="582"/>
      <c r="O568" s="582"/>
      <c r="P568" s="582">
        <f t="shared" si="231"/>
        <v>5.09</v>
      </c>
      <c r="Q568" s="582">
        <f t="shared" si="232"/>
        <v>0</v>
      </c>
      <c r="R568" s="583">
        <f t="shared" si="233"/>
        <v>0</v>
      </c>
      <c r="S568" s="584"/>
      <c r="T568" s="584"/>
      <c r="U568" s="585">
        <f t="shared" si="234"/>
        <v>0</v>
      </c>
      <c r="V568" s="586" t="str">
        <f t="shared" si="235"/>
        <v/>
      </c>
      <c r="W568" s="683" t="s">
        <v>2328</v>
      </c>
      <c r="X568" s="619">
        <f t="shared" si="248"/>
        <v>0.54</v>
      </c>
      <c r="Y568" s="618" t="s">
        <v>2051</v>
      </c>
      <c r="Z568" s="624">
        <v>0</v>
      </c>
      <c r="AA568" s="361">
        <f t="shared" si="236"/>
        <v>0</v>
      </c>
      <c r="AB568" s="597"/>
      <c r="AC568" s="485">
        <f t="shared" si="237"/>
        <v>0</v>
      </c>
      <c r="AD568" s="597"/>
      <c r="AE568" s="485">
        <f t="shared" si="238"/>
        <v>0</v>
      </c>
      <c r="AF568" s="508">
        <f t="shared" si="239"/>
        <v>0</v>
      </c>
      <c r="AG568" s="508">
        <f t="shared" si="240"/>
        <v>0</v>
      </c>
      <c r="AH568" s="508">
        <f t="shared" si="241"/>
        <v>0</v>
      </c>
      <c r="AI568" s="508">
        <f t="shared" si="242"/>
        <v>0</v>
      </c>
      <c r="AJ568" s="508">
        <f t="shared" si="243"/>
        <v>0</v>
      </c>
      <c r="AK568" s="508">
        <f t="shared" si="244"/>
        <v>0</v>
      </c>
      <c r="AM568" s="486">
        <f t="shared" si="245"/>
        <v>118</v>
      </c>
      <c r="AN568" s="117">
        <f t="shared" si="246"/>
        <v>-118</v>
      </c>
      <c r="AO568" s="487" t="e">
        <f t="shared" si="247"/>
        <v>#DIV/0!</v>
      </c>
      <c r="AP568" s="610"/>
    </row>
    <row r="569" spans="1:42" ht="15" hidden="1" customHeight="1" outlineLevel="1">
      <c r="A569" s="666">
        <v>433</v>
      </c>
      <c r="B569" s="477"/>
      <c r="C569" s="611" t="s">
        <v>1908</v>
      </c>
      <c r="D569" s="477" t="s">
        <v>1909</v>
      </c>
      <c r="E569" s="475" t="s">
        <v>1453</v>
      </c>
      <c r="F569" s="477" t="s">
        <v>1476</v>
      </c>
      <c r="G569" s="579" t="s">
        <v>1961</v>
      </c>
      <c r="H569" s="482">
        <v>12</v>
      </c>
      <c r="I569" s="580"/>
      <c r="J569" s="580"/>
      <c r="K569" s="581">
        <v>112.82</v>
      </c>
      <c r="L569" s="581"/>
      <c r="M569" s="582"/>
      <c r="N569" s="582"/>
      <c r="O569" s="582"/>
      <c r="P569" s="582">
        <f t="shared" si="231"/>
        <v>112.82</v>
      </c>
      <c r="Q569" s="582">
        <f t="shared" si="232"/>
        <v>0</v>
      </c>
      <c r="R569" s="583">
        <f t="shared" si="233"/>
        <v>0</v>
      </c>
      <c r="S569" s="584"/>
      <c r="T569" s="584"/>
      <c r="U569" s="585">
        <f t="shared" si="234"/>
        <v>0</v>
      </c>
      <c r="V569" s="586" t="str">
        <f t="shared" si="235"/>
        <v/>
      </c>
      <c r="W569" s="683" t="s">
        <v>2328</v>
      </c>
      <c r="X569" s="619">
        <f t="shared" si="248"/>
        <v>11</v>
      </c>
      <c r="Y569" s="618" t="s">
        <v>2051</v>
      </c>
      <c r="Z569" s="624">
        <v>0</v>
      </c>
      <c r="AA569" s="361">
        <f t="shared" si="236"/>
        <v>0</v>
      </c>
      <c r="AB569" s="597"/>
      <c r="AC569" s="485">
        <f t="shared" si="237"/>
        <v>0</v>
      </c>
      <c r="AD569" s="597"/>
      <c r="AE569" s="485">
        <f t="shared" si="238"/>
        <v>0</v>
      </c>
      <c r="AF569" s="508">
        <f t="shared" si="239"/>
        <v>0</v>
      </c>
      <c r="AG569" s="508">
        <f t="shared" si="240"/>
        <v>0</v>
      </c>
      <c r="AH569" s="508">
        <f t="shared" si="241"/>
        <v>0</v>
      </c>
      <c r="AI569" s="508">
        <f t="shared" si="242"/>
        <v>0</v>
      </c>
      <c r="AJ569" s="508">
        <f t="shared" si="243"/>
        <v>0</v>
      </c>
      <c r="AK569" s="508">
        <f t="shared" si="244"/>
        <v>0</v>
      </c>
      <c r="AM569" s="486">
        <f t="shared" si="245"/>
        <v>118</v>
      </c>
      <c r="AN569" s="117">
        <f t="shared" si="246"/>
        <v>-118</v>
      </c>
      <c r="AO569" s="487" t="e">
        <f t="shared" si="247"/>
        <v>#DIV/0!</v>
      </c>
      <c r="AP569" s="610"/>
    </row>
    <row r="570" spans="1:42" ht="15" hidden="1" customHeight="1" outlineLevel="1">
      <c r="A570" s="666">
        <v>434</v>
      </c>
      <c r="B570" s="477"/>
      <c r="C570" s="611" t="s">
        <v>1903</v>
      </c>
      <c r="D570" s="477" t="s">
        <v>1904</v>
      </c>
      <c r="E570" s="475" t="s">
        <v>1453</v>
      </c>
      <c r="F570" s="477" t="s">
        <v>1476</v>
      </c>
      <c r="G570" s="579" t="s">
        <v>1957</v>
      </c>
      <c r="H570" s="482">
        <v>16</v>
      </c>
      <c r="I570" s="580"/>
      <c r="J570" s="580"/>
      <c r="K570" s="581">
        <v>109.4</v>
      </c>
      <c r="L570" s="581"/>
      <c r="M570" s="582"/>
      <c r="N570" s="582"/>
      <c r="O570" s="582"/>
      <c r="P570" s="582">
        <f t="shared" si="231"/>
        <v>109.4</v>
      </c>
      <c r="Q570" s="582">
        <f t="shared" si="232"/>
        <v>0</v>
      </c>
      <c r="R570" s="583">
        <f t="shared" si="233"/>
        <v>0</v>
      </c>
      <c r="S570" s="584"/>
      <c r="T570" s="584"/>
      <c r="U570" s="585">
        <f t="shared" si="234"/>
        <v>0</v>
      </c>
      <c r="V570" s="586" t="str">
        <f t="shared" si="235"/>
        <v/>
      </c>
      <c r="W570" s="683" t="s">
        <v>2328</v>
      </c>
      <c r="X570" s="619">
        <f t="shared" si="248"/>
        <v>8</v>
      </c>
      <c r="Y570" s="618" t="s">
        <v>2051</v>
      </c>
      <c r="Z570" s="624">
        <v>0</v>
      </c>
      <c r="AA570" s="361">
        <f t="shared" si="236"/>
        <v>0</v>
      </c>
      <c r="AB570" s="597"/>
      <c r="AC570" s="485">
        <f t="shared" si="237"/>
        <v>0</v>
      </c>
      <c r="AD570" s="597"/>
      <c r="AE570" s="485">
        <f t="shared" si="238"/>
        <v>0</v>
      </c>
      <c r="AF570" s="508">
        <f t="shared" si="239"/>
        <v>0</v>
      </c>
      <c r="AG570" s="508">
        <f t="shared" si="240"/>
        <v>0</v>
      </c>
      <c r="AH570" s="508">
        <f t="shared" si="241"/>
        <v>0</v>
      </c>
      <c r="AI570" s="508">
        <f t="shared" si="242"/>
        <v>0</v>
      </c>
      <c r="AJ570" s="508">
        <f t="shared" si="243"/>
        <v>0</v>
      </c>
      <c r="AK570" s="508">
        <f t="shared" si="244"/>
        <v>0</v>
      </c>
      <c r="AM570" s="486">
        <f t="shared" si="245"/>
        <v>118</v>
      </c>
      <c r="AN570" s="117">
        <f t="shared" si="246"/>
        <v>-118</v>
      </c>
      <c r="AO570" s="487" t="e">
        <f t="shared" si="247"/>
        <v>#DIV/0!</v>
      </c>
      <c r="AP570" s="610"/>
    </row>
    <row r="571" spans="1:42" ht="15" hidden="1" customHeight="1" outlineLevel="1">
      <c r="A571" s="666">
        <v>435</v>
      </c>
      <c r="B571" s="477"/>
      <c r="C571" s="611" t="s">
        <v>1903</v>
      </c>
      <c r="D571" s="477" t="s">
        <v>1905</v>
      </c>
      <c r="E571" s="475" t="s">
        <v>1453</v>
      </c>
      <c r="F571" s="477" t="s">
        <v>1476</v>
      </c>
      <c r="G571" s="579" t="s">
        <v>1957</v>
      </c>
      <c r="H571" s="482">
        <v>10</v>
      </c>
      <c r="I571" s="580"/>
      <c r="J571" s="580"/>
      <c r="K571" s="581">
        <v>4.59</v>
      </c>
      <c r="L571" s="581"/>
      <c r="M571" s="582"/>
      <c r="N571" s="582"/>
      <c r="O571" s="582"/>
      <c r="P571" s="582">
        <f t="shared" si="231"/>
        <v>4.59</v>
      </c>
      <c r="Q571" s="582">
        <f t="shared" si="232"/>
        <v>0</v>
      </c>
      <c r="R571" s="583">
        <f t="shared" si="233"/>
        <v>0</v>
      </c>
      <c r="S571" s="584"/>
      <c r="T571" s="584"/>
      <c r="U571" s="585">
        <f t="shared" si="234"/>
        <v>0</v>
      </c>
      <c r="V571" s="586" t="str">
        <f t="shared" si="235"/>
        <v/>
      </c>
      <c r="W571" s="683" t="s">
        <v>2328</v>
      </c>
      <c r="X571" s="619">
        <f t="shared" si="248"/>
        <v>0.54</v>
      </c>
      <c r="Y571" s="618" t="s">
        <v>2051</v>
      </c>
      <c r="Z571" s="624">
        <v>0</v>
      </c>
      <c r="AA571" s="361">
        <f t="shared" si="236"/>
        <v>0</v>
      </c>
      <c r="AB571" s="597"/>
      <c r="AC571" s="485">
        <f t="shared" si="237"/>
        <v>0</v>
      </c>
      <c r="AD571" s="597"/>
      <c r="AE571" s="485">
        <f t="shared" si="238"/>
        <v>0</v>
      </c>
      <c r="AF571" s="508">
        <f t="shared" si="239"/>
        <v>0</v>
      </c>
      <c r="AG571" s="508">
        <f t="shared" si="240"/>
        <v>0</v>
      </c>
      <c r="AH571" s="508">
        <f t="shared" si="241"/>
        <v>0</v>
      </c>
      <c r="AI571" s="508">
        <f t="shared" si="242"/>
        <v>0</v>
      </c>
      <c r="AJ571" s="508">
        <f t="shared" si="243"/>
        <v>0</v>
      </c>
      <c r="AK571" s="508">
        <f t="shared" si="244"/>
        <v>0</v>
      </c>
      <c r="AM571" s="486">
        <f t="shared" si="245"/>
        <v>118</v>
      </c>
      <c r="AN571" s="117">
        <f t="shared" si="246"/>
        <v>-118</v>
      </c>
      <c r="AO571" s="487" t="e">
        <f t="shared" si="247"/>
        <v>#DIV/0!</v>
      </c>
      <c r="AP571" s="610"/>
    </row>
    <row r="572" spans="1:42" ht="15" hidden="1" customHeight="1" outlineLevel="1">
      <c r="A572" s="666">
        <v>436</v>
      </c>
      <c r="B572" s="477"/>
      <c r="C572" s="611" t="s">
        <v>1829</v>
      </c>
      <c r="D572" s="477" t="s">
        <v>1830</v>
      </c>
      <c r="E572" s="475" t="s">
        <v>1453</v>
      </c>
      <c r="F572" s="477" t="s">
        <v>1476</v>
      </c>
      <c r="G572" s="579" t="s">
        <v>1914</v>
      </c>
      <c r="H572" s="482">
        <v>1</v>
      </c>
      <c r="I572" s="580"/>
      <c r="J572" s="580"/>
      <c r="K572" s="581">
        <v>57.81</v>
      </c>
      <c r="L572" s="581"/>
      <c r="M572" s="582"/>
      <c r="N572" s="582"/>
      <c r="O572" s="582"/>
      <c r="P572" s="582">
        <f t="shared" si="231"/>
        <v>57.81</v>
      </c>
      <c r="Q572" s="582">
        <f t="shared" si="232"/>
        <v>0</v>
      </c>
      <c r="R572" s="583">
        <f t="shared" si="233"/>
        <v>0</v>
      </c>
      <c r="S572" s="584"/>
      <c r="T572" s="584"/>
      <c r="U572" s="585">
        <f t="shared" si="234"/>
        <v>0</v>
      </c>
      <c r="V572" s="586" t="str">
        <f t="shared" si="235"/>
        <v/>
      </c>
      <c r="W572" s="683" t="s">
        <v>2328</v>
      </c>
      <c r="X572" s="619">
        <f t="shared" si="248"/>
        <v>67.64</v>
      </c>
      <c r="Y572" s="618" t="s">
        <v>2051</v>
      </c>
      <c r="Z572" s="624">
        <v>0</v>
      </c>
      <c r="AA572" s="361">
        <f t="shared" si="236"/>
        <v>0</v>
      </c>
      <c r="AB572" s="597"/>
      <c r="AC572" s="485">
        <f t="shared" si="237"/>
        <v>0</v>
      </c>
      <c r="AD572" s="597"/>
      <c r="AE572" s="485">
        <f t="shared" si="238"/>
        <v>0</v>
      </c>
      <c r="AF572" s="508">
        <f t="shared" si="239"/>
        <v>0</v>
      </c>
      <c r="AG572" s="508">
        <f t="shared" si="240"/>
        <v>0</v>
      </c>
      <c r="AH572" s="508">
        <f t="shared" si="241"/>
        <v>0</v>
      </c>
      <c r="AI572" s="508">
        <f t="shared" si="242"/>
        <v>0</v>
      </c>
      <c r="AJ572" s="508">
        <f t="shared" si="243"/>
        <v>0</v>
      </c>
      <c r="AK572" s="508">
        <f t="shared" si="244"/>
        <v>0</v>
      </c>
      <c r="AM572" s="486">
        <f t="shared" si="245"/>
        <v>118</v>
      </c>
      <c r="AN572" s="117">
        <f t="shared" si="246"/>
        <v>-118</v>
      </c>
      <c r="AO572" s="487" t="e">
        <f t="shared" si="247"/>
        <v>#DIV/0!</v>
      </c>
      <c r="AP572" s="610"/>
    </row>
    <row r="573" spans="1:42" ht="15" hidden="1" customHeight="1" outlineLevel="1">
      <c r="A573" s="666">
        <v>437</v>
      </c>
      <c r="B573" s="477"/>
      <c r="C573" s="611" t="s">
        <v>1880</v>
      </c>
      <c r="D573" s="477" t="s">
        <v>1881</v>
      </c>
      <c r="E573" s="475" t="s">
        <v>1453</v>
      </c>
      <c r="F573" s="611" t="s">
        <v>1962</v>
      </c>
      <c r="G573" s="579" t="s">
        <v>1914</v>
      </c>
      <c r="H573" s="482">
        <v>5</v>
      </c>
      <c r="I573" s="580"/>
      <c r="J573" s="580"/>
      <c r="K573" s="581">
        <v>1539.57</v>
      </c>
      <c r="L573" s="581"/>
      <c r="M573" s="582"/>
      <c r="N573" s="582"/>
      <c r="O573" s="582"/>
      <c r="P573" s="582">
        <f t="shared" si="231"/>
        <v>1539.57</v>
      </c>
      <c r="Q573" s="582">
        <f t="shared" si="232"/>
        <v>0</v>
      </c>
      <c r="R573" s="583">
        <f t="shared" si="233"/>
        <v>0</v>
      </c>
      <c r="S573" s="584"/>
      <c r="T573" s="584"/>
      <c r="U573" s="585">
        <f t="shared" si="234"/>
        <v>0</v>
      </c>
      <c r="V573" s="586" t="str">
        <f t="shared" si="235"/>
        <v/>
      </c>
      <c r="W573" s="683" t="s">
        <v>2328</v>
      </c>
      <c r="X573" s="619">
        <f t="shared" si="248"/>
        <v>360.26</v>
      </c>
      <c r="Y573" s="618" t="s">
        <v>2051</v>
      </c>
      <c r="Z573" s="624">
        <v>0</v>
      </c>
      <c r="AA573" s="361">
        <f t="shared" si="236"/>
        <v>0</v>
      </c>
      <c r="AB573" s="597"/>
      <c r="AC573" s="485">
        <f t="shared" si="237"/>
        <v>0</v>
      </c>
      <c r="AD573" s="597"/>
      <c r="AE573" s="485">
        <f t="shared" si="238"/>
        <v>0</v>
      </c>
      <c r="AF573" s="508">
        <f t="shared" si="239"/>
        <v>0</v>
      </c>
      <c r="AG573" s="508">
        <f t="shared" si="240"/>
        <v>0</v>
      </c>
      <c r="AH573" s="508">
        <f t="shared" si="241"/>
        <v>0</v>
      </c>
      <c r="AI573" s="508">
        <f t="shared" si="242"/>
        <v>0</v>
      </c>
      <c r="AJ573" s="508">
        <f t="shared" si="243"/>
        <v>0</v>
      </c>
      <c r="AK573" s="508">
        <f t="shared" si="244"/>
        <v>0</v>
      </c>
      <c r="AM573" s="486">
        <f t="shared" si="245"/>
        <v>118</v>
      </c>
      <c r="AN573" s="117">
        <f t="shared" si="246"/>
        <v>-118</v>
      </c>
      <c r="AO573" s="487" t="e">
        <f t="shared" si="247"/>
        <v>#DIV/0!</v>
      </c>
      <c r="AP573" s="610"/>
    </row>
    <row r="574" spans="1:42" ht="15" hidden="1" customHeight="1" outlineLevel="1">
      <c r="A574" s="666">
        <v>438</v>
      </c>
      <c r="B574" s="477"/>
      <c r="C574" s="611" t="s">
        <v>1840</v>
      </c>
      <c r="D574" s="477" t="s">
        <v>1841</v>
      </c>
      <c r="E574" s="475" t="s">
        <v>1453</v>
      </c>
      <c r="F574" s="477" t="s">
        <v>1476</v>
      </c>
      <c r="G574" s="579" t="s">
        <v>1914</v>
      </c>
      <c r="H574" s="482">
        <v>2</v>
      </c>
      <c r="I574" s="580"/>
      <c r="J574" s="580"/>
      <c r="K574" s="581">
        <v>1521.36</v>
      </c>
      <c r="L574" s="581"/>
      <c r="M574" s="582"/>
      <c r="N574" s="582"/>
      <c r="O574" s="582"/>
      <c r="P574" s="582">
        <f t="shared" si="231"/>
        <v>1521.36</v>
      </c>
      <c r="Q574" s="582">
        <f t="shared" si="232"/>
        <v>0</v>
      </c>
      <c r="R574" s="583">
        <f t="shared" si="233"/>
        <v>0</v>
      </c>
      <c r="S574" s="584"/>
      <c r="T574" s="584"/>
      <c r="U574" s="585">
        <f t="shared" si="234"/>
        <v>0</v>
      </c>
      <c r="V574" s="586" t="str">
        <f t="shared" si="235"/>
        <v/>
      </c>
      <c r="W574" s="683" t="s">
        <v>2328</v>
      </c>
      <c r="X574" s="619">
        <f t="shared" si="248"/>
        <v>890</v>
      </c>
      <c r="Y574" s="618" t="s">
        <v>2051</v>
      </c>
      <c r="Z574" s="624">
        <v>0</v>
      </c>
      <c r="AA574" s="361">
        <f t="shared" si="236"/>
        <v>0</v>
      </c>
      <c r="AB574" s="597"/>
      <c r="AC574" s="485">
        <f t="shared" si="237"/>
        <v>0</v>
      </c>
      <c r="AD574" s="597"/>
      <c r="AE574" s="485">
        <f t="shared" si="238"/>
        <v>0</v>
      </c>
      <c r="AF574" s="508">
        <f t="shared" si="239"/>
        <v>0</v>
      </c>
      <c r="AG574" s="508">
        <f t="shared" si="240"/>
        <v>0</v>
      </c>
      <c r="AH574" s="508">
        <f t="shared" si="241"/>
        <v>0</v>
      </c>
      <c r="AI574" s="508">
        <f t="shared" si="242"/>
        <v>0</v>
      </c>
      <c r="AJ574" s="508">
        <f t="shared" si="243"/>
        <v>0</v>
      </c>
      <c r="AK574" s="508">
        <f t="shared" si="244"/>
        <v>0</v>
      </c>
      <c r="AM574" s="486">
        <f t="shared" si="245"/>
        <v>118</v>
      </c>
      <c r="AN574" s="117">
        <f t="shared" si="246"/>
        <v>-118</v>
      </c>
      <c r="AO574" s="487" t="e">
        <f t="shared" si="247"/>
        <v>#DIV/0!</v>
      </c>
      <c r="AP574" s="610"/>
    </row>
    <row r="575" spans="1:42" ht="15" hidden="1" customHeight="1" outlineLevel="1">
      <c r="A575" s="666">
        <v>439</v>
      </c>
      <c r="B575" s="477"/>
      <c r="C575" s="611" t="s">
        <v>1848</v>
      </c>
      <c r="D575" s="477">
        <v>12</v>
      </c>
      <c r="E575" s="475" t="s">
        <v>1453</v>
      </c>
      <c r="F575" s="477" t="s">
        <v>1476</v>
      </c>
      <c r="G575" s="579" t="s">
        <v>1914</v>
      </c>
      <c r="H575" s="482">
        <v>40</v>
      </c>
      <c r="I575" s="580"/>
      <c r="J575" s="580"/>
      <c r="K575" s="581">
        <v>4.6500000000000004</v>
      </c>
      <c r="L575" s="581"/>
      <c r="M575" s="582"/>
      <c r="N575" s="582"/>
      <c r="O575" s="582"/>
      <c r="P575" s="582">
        <f t="shared" si="231"/>
        <v>4.6500000000000004</v>
      </c>
      <c r="Q575" s="582">
        <f t="shared" si="232"/>
        <v>0</v>
      </c>
      <c r="R575" s="583">
        <f t="shared" si="233"/>
        <v>0</v>
      </c>
      <c r="S575" s="584"/>
      <c r="T575" s="584"/>
      <c r="U575" s="585">
        <f t="shared" si="234"/>
        <v>0</v>
      </c>
      <c r="V575" s="586" t="str">
        <f t="shared" si="235"/>
        <v/>
      </c>
      <c r="W575" s="683" t="s">
        <v>2328</v>
      </c>
      <c r="X575" s="619">
        <f t="shared" si="248"/>
        <v>0.14000000000000001</v>
      </c>
      <c r="Y575" s="618" t="s">
        <v>2051</v>
      </c>
      <c r="Z575" s="624">
        <v>0</v>
      </c>
      <c r="AA575" s="361">
        <f t="shared" si="236"/>
        <v>0</v>
      </c>
      <c r="AB575" s="597"/>
      <c r="AC575" s="485">
        <f t="shared" si="237"/>
        <v>0</v>
      </c>
      <c r="AD575" s="597"/>
      <c r="AE575" s="485">
        <f t="shared" si="238"/>
        <v>0</v>
      </c>
      <c r="AF575" s="508">
        <f t="shared" si="239"/>
        <v>0</v>
      </c>
      <c r="AG575" s="508">
        <f t="shared" si="240"/>
        <v>0</v>
      </c>
      <c r="AH575" s="508">
        <f t="shared" si="241"/>
        <v>0</v>
      </c>
      <c r="AI575" s="508">
        <f t="shared" si="242"/>
        <v>0</v>
      </c>
      <c r="AJ575" s="508">
        <f t="shared" si="243"/>
        <v>0</v>
      </c>
      <c r="AK575" s="508">
        <f t="shared" si="244"/>
        <v>0</v>
      </c>
      <c r="AM575" s="486">
        <f t="shared" si="245"/>
        <v>118</v>
      </c>
      <c r="AN575" s="117">
        <f t="shared" si="246"/>
        <v>-118</v>
      </c>
      <c r="AO575" s="487" t="e">
        <f t="shared" si="247"/>
        <v>#DIV/0!</v>
      </c>
      <c r="AP575" s="610"/>
    </row>
    <row r="576" spans="1:42" ht="15" hidden="1" customHeight="1" outlineLevel="1">
      <c r="A576" s="666">
        <v>440</v>
      </c>
      <c r="B576" s="477"/>
      <c r="C576" s="611" t="s">
        <v>1897</v>
      </c>
      <c r="D576" s="477" t="s">
        <v>1898</v>
      </c>
      <c r="E576" s="475" t="s">
        <v>1453</v>
      </c>
      <c r="F576" s="477" t="s">
        <v>1476</v>
      </c>
      <c r="G576" s="579" t="s">
        <v>1914</v>
      </c>
      <c r="H576" s="482">
        <v>5</v>
      </c>
      <c r="I576" s="580"/>
      <c r="J576" s="580"/>
      <c r="K576" s="581">
        <v>21.37</v>
      </c>
      <c r="L576" s="581"/>
      <c r="M576" s="582"/>
      <c r="N576" s="582"/>
      <c r="O576" s="582"/>
      <c r="P576" s="582">
        <f t="shared" si="231"/>
        <v>21.37</v>
      </c>
      <c r="Q576" s="582">
        <f t="shared" si="232"/>
        <v>0</v>
      </c>
      <c r="R576" s="583">
        <f t="shared" si="233"/>
        <v>0</v>
      </c>
      <c r="S576" s="584"/>
      <c r="T576" s="584"/>
      <c r="U576" s="585">
        <f t="shared" si="234"/>
        <v>0</v>
      </c>
      <c r="V576" s="586" t="str">
        <f t="shared" si="235"/>
        <v/>
      </c>
      <c r="W576" s="683" t="s">
        <v>2328</v>
      </c>
      <c r="X576" s="619">
        <f t="shared" si="248"/>
        <v>5</v>
      </c>
      <c r="Y576" s="618" t="s">
        <v>2051</v>
      </c>
      <c r="Z576" s="624">
        <v>0</v>
      </c>
      <c r="AA576" s="361">
        <f t="shared" si="236"/>
        <v>0</v>
      </c>
      <c r="AB576" s="597"/>
      <c r="AC576" s="485">
        <f t="shared" si="237"/>
        <v>0</v>
      </c>
      <c r="AD576" s="597"/>
      <c r="AE576" s="485">
        <f t="shared" si="238"/>
        <v>0</v>
      </c>
      <c r="AF576" s="508">
        <f t="shared" si="239"/>
        <v>0</v>
      </c>
      <c r="AG576" s="508">
        <f t="shared" si="240"/>
        <v>0</v>
      </c>
      <c r="AH576" s="508">
        <f t="shared" si="241"/>
        <v>0</v>
      </c>
      <c r="AI576" s="508">
        <f t="shared" si="242"/>
        <v>0</v>
      </c>
      <c r="AJ576" s="508">
        <f t="shared" si="243"/>
        <v>0</v>
      </c>
      <c r="AK576" s="508">
        <f t="shared" si="244"/>
        <v>0</v>
      </c>
      <c r="AM576" s="486">
        <f t="shared" si="245"/>
        <v>118</v>
      </c>
      <c r="AN576" s="117">
        <f t="shared" si="246"/>
        <v>-118</v>
      </c>
      <c r="AO576" s="487" t="e">
        <f t="shared" si="247"/>
        <v>#DIV/0!</v>
      </c>
      <c r="AP576" s="610"/>
    </row>
    <row r="577" spans="1:42" ht="15" hidden="1" customHeight="1" outlineLevel="1">
      <c r="A577" s="666">
        <v>441</v>
      </c>
      <c r="B577" s="477"/>
      <c r="C577" s="611" t="s">
        <v>1893</v>
      </c>
      <c r="D577" s="477" t="s">
        <v>1894</v>
      </c>
      <c r="E577" s="475" t="s">
        <v>1453</v>
      </c>
      <c r="F577" s="477" t="s">
        <v>1476</v>
      </c>
      <c r="G577" s="579" t="s">
        <v>1914</v>
      </c>
      <c r="H577" s="482">
        <v>2</v>
      </c>
      <c r="I577" s="580"/>
      <c r="J577" s="580"/>
      <c r="K577" s="581">
        <v>34.19</v>
      </c>
      <c r="L577" s="581"/>
      <c r="M577" s="582"/>
      <c r="N577" s="582"/>
      <c r="O577" s="582"/>
      <c r="P577" s="582">
        <f t="shared" si="231"/>
        <v>34.19</v>
      </c>
      <c r="Q577" s="582">
        <f t="shared" si="232"/>
        <v>0</v>
      </c>
      <c r="R577" s="583">
        <f t="shared" si="233"/>
        <v>0</v>
      </c>
      <c r="S577" s="584"/>
      <c r="T577" s="584"/>
      <c r="U577" s="585">
        <f t="shared" si="234"/>
        <v>0</v>
      </c>
      <c r="V577" s="586" t="str">
        <f t="shared" si="235"/>
        <v/>
      </c>
      <c r="W577" s="683" t="s">
        <v>2328</v>
      </c>
      <c r="X577" s="619">
        <f t="shared" si="248"/>
        <v>20</v>
      </c>
      <c r="Y577" s="618" t="s">
        <v>2051</v>
      </c>
      <c r="Z577" s="624">
        <v>0</v>
      </c>
      <c r="AA577" s="361">
        <f t="shared" si="236"/>
        <v>0</v>
      </c>
      <c r="AB577" s="597"/>
      <c r="AC577" s="485">
        <f t="shared" si="237"/>
        <v>0</v>
      </c>
      <c r="AD577" s="597"/>
      <c r="AE577" s="485">
        <f t="shared" si="238"/>
        <v>0</v>
      </c>
      <c r="AF577" s="508">
        <f t="shared" si="239"/>
        <v>0</v>
      </c>
      <c r="AG577" s="508">
        <f t="shared" si="240"/>
        <v>0</v>
      </c>
      <c r="AH577" s="508">
        <f t="shared" si="241"/>
        <v>0</v>
      </c>
      <c r="AI577" s="508">
        <f t="shared" si="242"/>
        <v>0</v>
      </c>
      <c r="AJ577" s="508">
        <f t="shared" si="243"/>
        <v>0</v>
      </c>
      <c r="AK577" s="508">
        <f t="shared" si="244"/>
        <v>0</v>
      </c>
      <c r="AM577" s="486">
        <f t="shared" si="245"/>
        <v>118</v>
      </c>
      <c r="AN577" s="117">
        <f t="shared" si="246"/>
        <v>-118</v>
      </c>
      <c r="AO577" s="487" t="e">
        <f t="shared" si="247"/>
        <v>#DIV/0!</v>
      </c>
      <c r="AP577" s="610"/>
    </row>
    <row r="578" spans="1:42" ht="15" hidden="1" customHeight="1" outlineLevel="1">
      <c r="A578" s="666">
        <v>442</v>
      </c>
      <c r="B578" s="477"/>
      <c r="C578" s="611" t="s">
        <v>1796</v>
      </c>
      <c r="D578" s="477" t="s">
        <v>1797</v>
      </c>
      <c r="E578" s="475" t="s">
        <v>1453</v>
      </c>
      <c r="F578" s="477" t="s">
        <v>1476</v>
      </c>
      <c r="G578" s="579" t="s">
        <v>1914</v>
      </c>
      <c r="H578" s="482">
        <v>2</v>
      </c>
      <c r="I578" s="580"/>
      <c r="J578" s="580"/>
      <c r="K578" s="581">
        <v>8.3800000000000008</v>
      </c>
      <c r="L578" s="581"/>
      <c r="M578" s="582"/>
      <c r="N578" s="582"/>
      <c r="O578" s="582"/>
      <c r="P578" s="582">
        <f t="shared" si="231"/>
        <v>8.3800000000000008</v>
      </c>
      <c r="Q578" s="582">
        <f t="shared" si="232"/>
        <v>0</v>
      </c>
      <c r="R578" s="583">
        <f t="shared" si="233"/>
        <v>0</v>
      </c>
      <c r="S578" s="584"/>
      <c r="T578" s="584"/>
      <c r="U578" s="585">
        <f t="shared" si="234"/>
        <v>0</v>
      </c>
      <c r="V578" s="586" t="str">
        <f t="shared" si="235"/>
        <v/>
      </c>
      <c r="W578" s="683" t="s">
        <v>2328</v>
      </c>
      <c r="X578" s="619">
        <f t="shared" si="248"/>
        <v>4.9000000000000004</v>
      </c>
      <c r="Y578" s="618" t="s">
        <v>2051</v>
      </c>
      <c r="Z578" s="624">
        <v>0</v>
      </c>
      <c r="AA578" s="361">
        <f t="shared" si="236"/>
        <v>0</v>
      </c>
      <c r="AB578" s="597"/>
      <c r="AC578" s="485">
        <f t="shared" si="237"/>
        <v>0</v>
      </c>
      <c r="AD578" s="597"/>
      <c r="AE578" s="485">
        <f t="shared" si="238"/>
        <v>0</v>
      </c>
      <c r="AF578" s="508">
        <f t="shared" si="239"/>
        <v>0</v>
      </c>
      <c r="AG578" s="508">
        <f t="shared" si="240"/>
        <v>0</v>
      </c>
      <c r="AH578" s="508">
        <f t="shared" si="241"/>
        <v>0</v>
      </c>
      <c r="AI578" s="508">
        <f t="shared" si="242"/>
        <v>0</v>
      </c>
      <c r="AJ578" s="508">
        <f t="shared" si="243"/>
        <v>0</v>
      </c>
      <c r="AK578" s="508">
        <f t="shared" si="244"/>
        <v>0</v>
      </c>
      <c r="AM578" s="486">
        <f t="shared" si="245"/>
        <v>118</v>
      </c>
      <c r="AN578" s="117">
        <f t="shared" si="246"/>
        <v>-118</v>
      </c>
      <c r="AO578" s="487" t="e">
        <f t="shared" si="247"/>
        <v>#DIV/0!</v>
      </c>
      <c r="AP578" s="610"/>
    </row>
    <row r="579" spans="1:42" ht="15" hidden="1" customHeight="1" outlineLevel="1">
      <c r="A579" s="666">
        <v>443</v>
      </c>
      <c r="B579" s="477"/>
      <c r="C579" s="611" t="s">
        <v>1796</v>
      </c>
      <c r="D579" s="477" t="s">
        <v>1798</v>
      </c>
      <c r="E579" s="475" t="s">
        <v>1453</v>
      </c>
      <c r="F579" s="477" t="s">
        <v>1476</v>
      </c>
      <c r="G579" s="579" t="s">
        <v>1914</v>
      </c>
      <c r="H579" s="482">
        <v>2</v>
      </c>
      <c r="I579" s="580"/>
      <c r="J579" s="580"/>
      <c r="K579" s="581">
        <v>9.64</v>
      </c>
      <c r="L579" s="581"/>
      <c r="M579" s="582"/>
      <c r="N579" s="582"/>
      <c r="O579" s="582"/>
      <c r="P579" s="582">
        <f t="shared" si="231"/>
        <v>9.64</v>
      </c>
      <c r="Q579" s="582">
        <f t="shared" si="232"/>
        <v>0</v>
      </c>
      <c r="R579" s="583">
        <f t="shared" si="233"/>
        <v>0</v>
      </c>
      <c r="S579" s="584"/>
      <c r="T579" s="584"/>
      <c r="U579" s="585">
        <f t="shared" si="234"/>
        <v>0</v>
      </c>
      <c r="V579" s="586" t="str">
        <f t="shared" si="235"/>
        <v/>
      </c>
      <c r="W579" s="683" t="s">
        <v>2328</v>
      </c>
      <c r="X579" s="619">
        <f t="shared" si="248"/>
        <v>5.64</v>
      </c>
      <c r="Y579" s="618" t="s">
        <v>2051</v>
      </c>
      <c r="Z579" s="624">
        <v>0</v>
      </c>
      <c r="AA579" s="361">
        <f t="shared" si="236"/>
        <v>0</v>
      </c>
      <c r="AB579" s="597"/>
      <c r="AC579" s="485">
        <f t="shared" si="237"/>
        <v>0</v>
      </c>
      <c r="AD579" s="597"/>
      <c r="AE579" s="485">
        <f t="shared" si="238"/>
        <v>0</v>
      </c>
      <c r="AF579" s="508">
        <f t="shared" si="239"/>
        <v>0</v>
      </c>
      <c r="AG579" s="508">
        <f t="shared" si="240"/>
        <v>0</v>
      </c>
      <c r="AH579" s="508">
        <f t="shared" si="241"/>
        <v>0</v>
      </c>
      <c r="AI579" s="508">
        <f t="shared" si="242"/>
        <v>0</v>
      </c>
      <c r="AJ579" s="508">
        <f t="shared" si="243"/>
        <v>0</v>
      </c>
      <c r="AK579" s="508">
        <f t="shared" si="244"/>
        <v>0</v>
      </c>
      <c r="AM579" s="486">
        <f t="shared" si="245"/>
        <v>118</v>
      </c>
      <c r="AN579" s="117">
        <f t="shared" si="246"/>
        <v>-118</v>
      </c>
      <c r="AO579" s="487" t="e">
        <f t="shared" si="247"/>
        <v>#DIV/0!</v>
      </c>
      <c r="AP579" s="610"/>
    </row>
    <row r="580" spans="1:42" ht="15" hidden="1" customHeight="1" outlineLevel="1">
      <c r="A580" s="666">
        <v>444</v>
      </c>
      <c r="B580" s="477"/>
      <c r="C580" s="611" t="s">
        <v>1810</v>
      </c>
      <c r="D580" s="477" t="s">
        <v>1808</v>
      </c>
      <c r="E580" s="475" t="s">
        <v>1453</v>
      </c>
      <c r="F580" s="477" t="s">
        <v>1476</v>
      </c>
      <c r="G580" s="579" t="s">
        <v>1914</v>
      </c>
      <c r="H580" s="482">
        <v>8</v>
      </c>
      <c r="I580" s="580"/>
      <c r="J580" s="580"/>
      <c r="K580" s="581">
        <v>341.88</v>
      </c>
      <c r="L580" s="581"/>
      <c r="M580" s="582"/>
      <c r="N580" s="582"/>
      <c r="O580" s="582"/>
      <c r="P580" s="582">
        <f t="shared" si="231"/>
        <v>341.88</v>
      </c>
      <c r="Q580" s="582">
        <f t="shared" si="232"/>
        <v>0</v>
      </c>
      <c r="R580" s="583">
        <f t="shared" si="233"/>
        <v>0</v>
      </c>
      <c r="S580" s="584"/>
      <c r="T580" s="584"/>
      <c r="U580" s="585">
        <f t="shared" si="234"/>
        <v>0</v>
      </c>
      <c r="V580" s="586" t="str">
        <f t="shared" si="235"/>
        <v/>
      </c>
      <c r="W580" s="683" t="s">
        <v>2328</v>
      </c>
      <c r="X580" s="619">
        <f t="shared" si="248"/>
        <v>50</v>
      </c>
      <c r="Y580" s="618" t="s">
        <v>2051</v>
      </c>
      <c r="Z580" s="624">
        <v>0</v>
      </c>
      <c r="AA580" s="361">
        <f t="shared" si="236"/>
        <v>0</v>
      </c>
      <c r="AB580" s="597"/>
      <c r="AC580" s="485">
        <f t="shared" si="237"/>
        <v>0</v>
      </c>
      <c r="AD580" s="597"/>
      <c r="AE580" s="485">
        <f t="shared" si="238"/>
        <v>0</v>
      </c>
      <c r="AF580" s="508">
        <f t="shared" si="239"/>
        <v>0</v>
      </c>
      <c r="AG580" s="508">
        <f t="shared" si="240"/>
        <v>0</v>
      </c>
      <c r="AH580" s="508">
        <f t="shared" si="241"/>
        <v>0</v>
      </c>
      <c r="AI580" s="508">
        <f t="shared" si="242"/>
        <v>0</v>
      </c>
      <c r="AJ580" s="508">
        <f t="shared" si="243"/>
        <v>0</v>
      </c>
      <c r="AK580" s="508">
        <f t="shared" si="244"/>
        <v>0</v>
      </c>
      <c r="AM580" s="486">
        <f t="shared" si="245"/>
        <v>118</v>
      </c>
      <c r="AN580" s="117">
        <f t="shared" si="246"/>
        <v>-118</v>
      </c>
      <c r="AO580" s="487" t="e">
        <f t="shared" si="247"/>
        <v>#DIV/0!</v>
      </c>
      <c r="AP580" s="610"/>
    </row>
    <row r="581" spans="1:42" ht="15" hidden="1" customHeight="1" outlineLevel="1">
      <c r="A581" s="666">
        <v>445</v>
      </c>
      <c r="B581" s="477"/>
      <c r="C581" s="611" t="s">
        <v>1876</v>
      </c>
      <c r="D581" s="477" t="s">
        <v>1877</v>
      </c>
      <c r="E581" s="475" t="s">
        <v>1453</v>
      </c>
      <c r="F581" s="477" t="s">
        <v>1476</v>
      </c>
      <c r="G581" s="482" t="s">
        <v>1961</v>
      </c>
      <c r="H581" s="482">
        <v>6</v>
      </c>
      <c r="I581" s="580"/>
      <c r="J581" s="580"/>
      <c r="K581" s="581">
        <v>271.79000000000002</v>
      </c>
      <c r="L581" s="581"/>
      <c r="M581" s="582"/>
      <c r="N581" s="582"/>
      <c r="O581" s="582"/>
      <c r="P581" s="582">
        <f t="shared" si="231"/>
        <v>271.79000000000002</v>
      </c>
      <c r="Q581" s="582">
        <f t="shared" si="232"/>
        <v>0</v>
      </c>
      <c r="R581" s="583">
        <f t="shared" si="233"/>
        <v>0</v>
      </c>
      <c r="S581" s="584"/>
      <c r="T581" s="584"/>
      <c r="U581" s="585">
        <f t="shared" si="234"/>
        <v>0</v>
      </c>
      <c r="V581" s="586" t="str">
        <f t="shared" si="235"/>
        <v/>
      </c>
      <c r="W581" s="683" t="s">
        <v>2328</v>
      </c>
      <c r="X581" s="619">
        <f t="shared" si="248"/>
        <v>53</v>
      </c>
      <c r="Y581" s="618" t="s">
        <v>2051</v>
      </c>
      <c r="Z581" s="624">
        <v>0</v>
      </c>
      <c r="AA581" s="361">
        <f t="shared" si="236"/>
        <v>0</v>
      </c>
      <c r="AB581" s="597"/>
      <c r="AC581" s="485">
        <f t="shared" si="237"/>
        <v>0</v>
      </c>
      <c r="AD581" s="597"/>
      <c r="AE581" s="485">
        <f t="shared" si="238"/>
        <v>0</v>
      </c>
      <c r="AF581" s="508">
        <f t="shared" si="239"/>
        <v>0</v>
      </c>
      <c r="AG581" s="508">
        <f t="shared" si="240"/>
        <v>0</v>
      </c>
      <c r="AH581" s="508">
        <f t="shared" si="241"/>
        <v>0</v>
      </c>
      <c r="AI581" s="508">
        <f t="shared" si="242"/>
        <v>0</v>
      </c>
      <c r="AJ581" s="508">
        <f t="shared" si="243"/>
        <v>0</v>
      </c>
      <c r="AK581" s="508">
        <f t="shared" si="244"/>
        <v>0</v>
      </c>
      <c r="AM581" s="486">
        <f t="shared" si="245"/>
        <v>118</v>
      </c>
      <c r="AN581" s="117">
        <f t="shared" si="246"/>
        <v>-118</v>
      </c>
      <c r="AO581" s="487" t="e">
        <f t="shared" si="247"/>
        <v>#DIV/0!</v>
      </c>
      <c r="AP581" s="610"/>
    </row>
    <row r="582" spans="1:42" ht="15" hidden="1" customHeight="1" outlineLevel="1">
      <c r="A582" s="666">
        <v>446</v>
      </c>
      <c r="B582" s="477"/>
      <c r="C582" s="611" t="s">
        <v>1855</v>
      </c>
      <c r="D582" s="477" t="s">
        <v>1856</v>
      </c>
      <c r="E582" s="475" t="s">
        <v>1453</v>
      </c>
      <c r="F582" s="477" t="s">
        <v>1476</v>
      </c>
      <c r="G582" s="579" t="s">
        <v>1914</v>
      </c>
      <c r="H582" s="482">
        <v>3</v>
      </c>
      <c r="I582" s="580"/>
      <c r="J582" s="580"/>
      <c r="K582" s="581">
        <v>86.63</v>
      </c>
      <c r="L582" s="581"/>
      <c r="M582" s="582"/>
      <c r="N582" s="582"/>
      <c r="O582" s="582"/>
      <c r="P582" s="582">
        <f t="shared" si="231"/>
        <v>86.63</v>
      </c>
      <c r="Q582" s="582">
        <f t="shared" si="232"/>
        <v>0</v>
      </c>
      <c r="R582" s="583">
        <f t="shared" si="233"/>
        <v>0</v>
      </c>
      <c r="S582" s="584"/>
      <c r="T582" s="584"/>
      <c r="U582" s="585">
        <f t="shared" si="234"/>
        <v>0</v>
      </c>
      <c r="V582" s="586" t="str">
        <f t="shared" si="235"/>
        <v/>
      </c>
      <c r="W582" s="683" t="s">
        <v>2328</v>
      </c>
      <c r="X582" s="619">
        <f t="shared" si="248"/>
        <v>33.79</v>
      </c>
      <c r="Y582" s="618" t="s">
        <v>2051</v>
      </c>
      <c r="Z582" s="624">
        <v>0</v>
      </c>
      <c r="AA582" s="361">
        <f t="shared" si="236"/>
        <v>0</v>
      </c>
      <c r="AB582" s="597"/>
      <c r="AC582" s="485">
        <f t="shared" si="237"/>
        <v>0</v>
      </c>
      <c r="AD582" s="597"/>
      <c r="AE582" s="485">
        <f t="shared" si="238"/>
        <v>0</v>
      </c>
      <c r="AF582" s="508">
        <f t="shared" si="239"/>
        <v>0</v>
      </c>
      <c r="AG582" s="508">
        <f t="shared" si="240"/>
        <v>0</v>
      </c>
      <c r="AH582" s="508">
        <f t="shared" si="241"/>
        <v>0</v>
      </c>
      <c r="AI582" s="508">
        <f t="shared" si="242"/>
        <v>0</v>
      </c>
      <c r="AJ582" s="508">
        <f t="shared" si="243"/>
        <v>0</v>
      </c>
      <c r="AK582" s="508">
        <f t="shared" si="244"/>
        <v>0</v>
      </c>
      <c r="AM582" s="486">
        <f t="shared" si="245"/>
        <v>118</v>
      </c>
      <c r="AN582" s="117">
        <f t="shared" si="246"/>
        <v>-118</v>
      </c>
      <c r="AO582" s="487" t="e">
        <f t="shared" si="247"/>
        <v>#DIV/0!</v>
      </c>
      <c r="AP582" s="610"/>
    </row>
    <row r="583" spans="1:42" ht="15" hidden="1" customHeight="1" outlineLevel="1">
      <c r="A583" s="666">
        <v>447</v>
      </c>
      <c r="B583" s="477"/>
      <c r="C583" s="611" t="s">
        <v>1849</v>
      </c>
      <c r="D583" s="477" t="s">
        <v>1850</v>
      </c>
      <c r="E583" s="475" t="s">
        <v>1453</v>
      </c>
      <c r="F583" s="477" t="s">
        <v>1476</v>
      </c>
      <c r="G583" s="579" t="s">
        <v>1914</v>
      </c>
      <c r="H583" s="482">
        <v>1</v>
      </c>
      <c r="I583" s="580"/>
      <c r="J583" s="580"/>
      <c r="K583" s="581">
        <v>121.45</v>
      </c>
      <c r="L583" s="581"/>
      <c r="M583" s="582"/>
      <c r="N583" s="582"/>
      <c r="O583" s="582"/>
      <c r="P583" s="582">
        <f t="shared" si="231"/>
        <v>121.45</v>
      </c>
      <c r="Q583" s="582">
        <f t="shared" si="232"/>
        <v>0</v>
      </c>
      <c r="R583" s="583">
        <f t="shared" si="233"/>
        <v>0</v>
      </c>
      <c r="S583" s="584"/>
      <c r="T583" s="584"/>
      <c r="U583" s="585">
        <f t="shared" si="234"/>
        <v>0</v>
      </c>
      <c r="V583" s="586" t="str">
        <f t="shared" si="235"/>
        <v/>
      </c>
      <c r="W583" s="683" t="s">
        <v>2328</v>
      </c>
      <c r="X583" s="619">
        <f t="shared" si="248"/>
        <v>142.1</v>
      </c>
      <c r="Y583" s="618" t="s">
        <v>2051</v>
      </c>
      <c r="Z583" s="624">
        <v>0</v>
      </c>
      <c r="AA583" s="361">
        <f t="shared" si="236"/>
        <v>0</v>
      </c>
      <c r="AB583" s="597"/>
      <c r="AC583" s="485">
        <f t="shared" si="237"/>
        <v>0</v>
      </c>
      <c r="AD583" s="597"/>
      <c r="AE583" s="485">
        <f t="shared" si="238"/>
        <v>0</v>
      </c>
      <c r="AF583" s="508">
        <f t="shared" si="239"/>
        <v>0</v>
      </c>
      <c r="AG583" s="508">
        <f t="shared" si="240"/>
        <v>0</v>
      </c>
      <c r="AH583" s="508">
        <f t="shared" si="241"/>
        <v>0</v>
      </c>
      <c r="AI583" s="508">
        <f t="shared" si="242"/>
        <v>0</v>
      </c>
      <c r="AJ583" s="508">
        <f t="shared" si="243"/>
        <v>0</v>
      </c>
      <c r="AK583" s="508">
        <f t="shared" si="244"/>
        <v>0</v>
      </c>
      <c r="AM583" s="486">
        <f t="shared" si="245"/>
        <v>118</v>
      </c>
      <c r="AN583" s="117">
        <f t="shared" si="246"/>
        <v>-118</v>
      </c>
      <c r="AO583" s="487" t="e">
        <f t="shared" si="247"/>
        <v>#DIV/0!</v>
      </c>
      <c r="AP583" s="610"/>
    </row>
    <row r="584" spans="1:42" ht="15" hidden="1" customHeight="1" outlineLevel="1">
      <c r="A584" s="666">
        <v>448</v>
      </c>
      <c r="B584" s="477"/>
      <c r="C584" s="611" t="s">
        <v>1851</v>
      </c>
      <c r="D584" s="477" t="s">
        <v>1850</v>
      </c>
      <c r="E584" s="475" t="s">
        <v>1453</v>
      </c>
      <c r="F584" s="477" t="s">
        <v>1476</v>
      </c>
      <c r="G584" s="579" t="s">
        <v>1914</v>
      </c>
      <c r="H584" s="482">
        <v>2</v>
      </c>
      <c r="I584" s="580"/>
      <c r="J584" s="580"/>
      <c r="K584" s="581">
        <v>68.38</v>
      </c>
      <c r="L584" s="581"/>
      <c r="M584" s="582"/>
      <c r="N584" s="582"/>
      <c r="O584" s="582"/>
      <c r="P584" s="582">
        <f t="shared" si="231"/>
        <v>68.38</v>
      </c>
      <c r="Q584" s="582">
        <f t="shared" si="232"/>
        <v>0</v>
      </c>
      <c r="R584" s="583">
        <f t="shared" si="233"/>
        <v>0</v>
      </c>
      <c r="S584" s="584"/>
      <c r="T584" s="584"/>
      <c r="U584" s="585">
        <f t="shared" si="234"/>
        <v>0</v>
      </c>
      <c r="V584" s="586" t="str">
        <f t="shared" si="235"/>
        <v/>
      </c>
      <c r="W584" s="683" t="s">
        <v>2328</v>
      </c>
      <c r="X584" s="619">
        <f t="shared" si="248"/>
        <v>40</v>
      </c>
      <c r="Y584" s="618" t="s">
        <v>2051</v>
      </c>
      <c r="Z584" s="624">
        <v>0</v>
      </c>
      <c r="AA584" s="361">
        <f t="shared" si="236"/>
        <v>0</v>
      </c>
      <c r="AB584" s="597"/>
      <c r="AC584" s="485">
        <f t="shared" si="237"/>
        <v>0</v>
      </c>
      <c r="AD584" s="597"/>
      <c r="AE584" s="485">
        <f t="shared" si="238"/>
        <v>0</v>
      </c>
      <c r="AF584" s="508">
        <f t="shared" si="239"/>
        <v>0</v>
      </c>
      <c r="AG584" s="508">
        <f t="shared" si="240"/>
        <v>0</v>
      </c>
      <c r="AH584" s="508">
        <f t="shared" si="241"/>
        <v>0</v>
      </c>
      <c r="AI584" s="508">
        <f t="shared" si="242"/>
        <v>0</v>
      </c>
      <c r="AJ584" s="508">
        <f t="shared" si="243"/>
        <v>0</v>
      </c>
      <c r="AK584" s="508">
        <f t="shared" si="244"/>
        <v>0</v>
      </c>
      <c r="AM584" s="486">
        <f t="shared" si="245"/>
        <v>118</v>
      </c>
      <c r="AN584" s="117">
        <f t="shared" si="246"/>
        <v>-118</v>
      </c>
      <c r="AO584" s="487" t="e">
        <f t="shared" si="247"/>
        <v>#DIV/0!</v>
      </c>
      <c r="AP584" s="610"/>
    </row>
    <row r="585" spans="1:42" ht="15" hidden="1" customHeight="1" outlineLevel="1">
      <c r="A585" s="666">
        <v>449</v>
      </c>
      <c r="B585" s="477"/>
      <c r="C585" s="611" t="s">
        <v>1862</v>
      </c>
      <c r="D585" s="477">
        <v>6204</v>
      </c>
      <c r="E585" s="475" t="s">
        <v>1453</v>
      </c>
      <c r="F585" s="477" t="s">
        <v>1476</v>
      </c>
      <c r="G585" s="579" t="s">
        <v>1914</v>
      </c>
      <c r="H585" s="482">
        <v>1</v>
      </c>
      <c r="I585" s="580"/>
      <c r="J585" s="580"/>
      <c r="K585" s="581">
        <v>6.73</v>
      </c>
      <c r="L585" s="581"/>
      <c r="M585" s="582"/>
      <c r="N585" s="582"/>
      <c r="O585" s="582"/>
      <c r="P585" s="582">
        <f t="shared" si="231"/>
        <v>6.73</v>
      </c>
      <c r="Q585" s="582">
        <f t="shared" si="232"/>
        <v>0</v>
      </c>
      <c r="R585" s="583">
        <f t="shared" si="233"/>
        <v>0</v>
      </c>
      <c r="S585" s="584"/>
      <c r="T585" s="584"/>
      <c r="U585" s="585">
        <f t="shared" si="234"/>
        <v>0</v>
      </c>
      <c r="V585" s="586" t="str">
        <f t="shared" si="235"/>
        <v/>
      </c>
      <c r="W585" s="683" t="s">
        <v>2328</v>
      </c>
      <c r="X585" s="619">
        <f t="shared" si="248"/>
        <v>7.87</v>
      </c>
      <c r="Y585" s="618" t="s">
        <v>2051</v>
      </c>
      <c r="Z585" s="624">
        <v>0</v>
      </c>
      <c r="AA585" s="361">
        <f t="shared" si="236"/>
        <v>0</v>
      </c>
      <c r="AB585" s="597"/>
      <c r="AC585" s="485">
        <f t="shared" si="237"/>
        <v>0</v>
      </c>
      <c r="AD585" s="597"/>
      <c r="AE585" s="485">
        <f t="shared" si="238"/>
        <v>0</v>
      </c>
      <c r="AF585" s="508">
        <f t="shared" si="239"/>
        <v>0</v>
      </c>
      <c r="AG585" s="508">
        <f t="shared" si="240"/>
        <v>0</v>
      </c>
      <c r="AH585" s="508">
        <f t="shared" si="241"/>
        <v>0</v>
      </c>
      <c r="AI585" s="508">
        <f t="shared" si="242"/>
        <v>0</v>
      </c>
      <c r="AJ585" s="508">
        <f t="shared" si="243"/>
        <v>0</v>
      </c>
      <c r="AK585" s="508">
        <f t="shared" si="244"/>
        <v>0</v>
      </c>
      <c r="AM585" s="486">
        <f t="shared" si="245"/>
        <v>118</v>
      </c>
      <c r="AN585" s="117">
        <f t="shared" si="246"/>
        <v>-118</v>
      </c>
      <c r="AO585" s="487" t="e">
        <f t="shared" si="247"/>
        <v>#DIV/0!</v>
      </c>
      <c r="AP585" s="610"/>
    </row>
    <row r="586" spans="1:42" ht="15" hidden="1" customHeight="1" outlineLevel="1">
      <c r="A586" s="666">
        <v>450</v>
      </c>
      <c r="B586" s="477"/>
      <c r="C586" s="611" t="s">
        <v>1915</v>
      </c>
      <c r="D586" s="477" t="s">
        <v>1916</v>
      </c>
      <c r="E586" s="475" t="s">
        <v>1453</v>
      </c>
      <c r="F586" s="477" t="s">
        <v>1476</v>
      </c>
      <c r="G586" s="579" t="s">
        <v>1914</v>
      </c>
      <c r="H586" s="482">
        <v>2</v>
      </c>
      <c r="I586" s="580"/>
      <c r="J586" s="580"/>
      <c r="K586" s="581">
        <v>41.03</v>
      </c>
      <c r="L586" s="581"/>
      <c r="M586" s="582"/>
      <c r="N586" s="582"/>
      <c r="O586" s="582"/>
      <c r="P586" s="582">
        <f t="shared" si="231"/>
        <v>41.03</v>
      </c>
      <c r="Q586" s="582">
        <f t="shared" si="232"/>
        <v>0</v>
      </c>
      <c r="R586" s="583">
        <f t="shared" si="233"/>
        <v>0</v>
      </c>
      <c r="S586" s="584"/>
      <c r="T586" s="584"/>
      <c r="U586" s="585">
        <f t="shared" si="234"/>
        <v>0</v>
      </c>
      <c r="V586" s="586" t="str">
        <f t="shared" si="235"/>
        <v/>
      </c>
      <c r="W586" s="683" t="s">
        <v>2328</v>
      </c>
      <c r="X586" s="619">
        <f t="shared" si="248"/>
        <v>24</v>
      </c>
      <c r="Y586" s="618" t="s">
        <v>2051</v>
      </c>
      <c r="Z586" s="624">
        <v>0</v>
      </c>
      <c r="AA586" s="361">
        <f t="shared" si="236"/>
        <v>0</v>
      </c>
      <c r="AB586" s="597"/>
      <c r="AC586" s="485">
        <f t="shared" si="237"/>
        <v>0</v>
      </c>
      <c r="AD586" s="597"/>
      <c r="AE586" s="485">
        <f t="shared" si="238"/>
        <v>0</v>
      </c>
      <c r="AF586" s="508">
        <f t="shared" si="239"/>
        <v>0</v>
      </c>
      <c r="AG586" s="508">
        <f t="shared" si="240"/>
        <v>0</v>
      </c>
      <c r="AH586" s="508">
        <f t="shared" si="241"/>
        <v>0</v>
      </c>
      <c r="AI586" s="508">
        <f t="shared" si="242"/>
        <v>0</v>
      </c>
      <c r="AJ586" s="508">
        <f t="shared" si="243"/>
        <v>0</v>
      </c>
      <c r="AK586" s="508">
        <f t="shared" si="244"/>
        <v>0</v>
      </c>
      <c r="AM586" s="486">
        <f t="shared" si="245"/>
        <v>118</v>
      </c>
      <c r="AN586" s="117">
        <f t="shared" si="246"/>
        <v>-118</v>
      </c>
      <c r="AO586" s="487" t="e">
        <f t="shared" si="247"/>
        <v>#DIV/0!</v>
      </c>
      <c r="AP586" s="610"/>
    </row>
    <row r="587" spans="1:42" ht="15" hidden="1" customHeight="1" outlineLevel="1">
      <c r="A587" s="666">
        <v>451</v>
      </c>
      <c r="B587" s="477"/>
      <c r="C587" s="611" t="s">
        <v>1910</v>
      </c>
      <c r="D587" s="477" t="s">
        <v>1911</v>
      </c>
      <c r="E587" s="475" t="s">
        <v>1453</v>
      </c>
      <c r="F587" s="477" t="s">
        <v>1476</v>
      </c>
      <c r="G587" s="579" t="s">
        <v>1914</v>
      </c>
      <c r="H587" s="482">
        <v>5</v>
      </c>
      <c r="I587" s="580"/>
      <c r="J587" s="580"/>
      <c r="K587" s="581">
        <v>84.62</v>
      </c>
      <c r="L587" s="581"/>
      <c r="M587" s="582"/>
      <c r="N587" s="582"/>
      <c r="O587" s="582"/>
      <c r="P587" s="582">
        <f t="shared" si="231"/>
        <v>84.62</v>
      </c>
      <c r="Q587" s="582">
        <f t="shared" si="232"/>
        <v>0</v>
      </c>
      <c r="R587" s="583">
        <f t="shared" si="233"/>
        <v>0</v>
      </c>
      <c r="S587" s="584"/>
      <c r="T587" s="584"/>
      <c r="U587" s="585">
        <f t="shared" si="234"/>
        <v>0</v>
      </c>
      <c r="V587" s="586" t="str">
        <f t="shared" si="235"/>
        <v/>
      </c>
      <c r="W587" s="683" t="s">
        <v>2328</v>
      </c>
      <c r="X587" s="619">
        <f t="shared" si="248"/>
        <v>19.8</v>
      </c>
      <c r="Y587" s="618" t="s">
        <v>2051</v>
      </c>
      <c r="Z587" s="624">
        <v>0</v>
      </c>
      <c r="AA587" s="361">
        <f t="shared" si="236"/>
        <v>0</v>
      </c>
      <c r="AB587" s="597"/>
      <c r="AC587" s="485">
        <f t="shared" si="237"/>
        <v>0</v>
      </c>
      <c r="AD587" s="597"/>
      <c r="AE587" s="485">
        <f t="shared" si="238"/>
        <v>0</v>
      </c>
      <c r="AF587" s="508">
        <f t="shared" si="239"/>
        <v>0</v>
      </c>
      <c r="AG587" s="508">
        <f t="shared" si="240"/>
        <v>0</v>
      </c>
      <c r="AH587" s="508">
        <f t="shared" si="241"/>
        <v>0</v>
      </c>
      <c r="AI587" s="508">
        <f t="shared" si="242"/>
        <v>0</v>
      </c>
      <c r="AJ587" s="508">
        <f t="shared" si="243"/>
        <v>0</v>
      </c>
      <c r="AK587" s="508">
        <f t="shared" si="244"/>
        <v>0</v>
      </c>
      <c r="AM587" s="486">
        <f t="shared" si="245"/>
        <v>118</v>
      </c>
      <c r="AN587" s="117">
        <f t="shared" si="246"/>
        <v>-118</v>
      </c>
      <c r="AO587" s="487" t="e">
        <f t="shared" si="247"/>
        <v>#DIV/0!</v>
      </c>
      <c r="AP587" s="610"/>
    </row>
    <row r="588" spans="1:42" ht="15" hidden="1" customHeight="1" outlineLevel="1">
      <c r="A588" s="666">
        <v>452</v>
      </c>
      <c r="B588" s="477"/>
      <c r="C588" s="611" t="s">
        <v>1912</v>
      </c>
      <c r="D588" s="477" t="s">
        <v>1913</v>
      </c>
      <c r="E588" s="475" t="s">
        <v>1453</v>
      </c>
      <c r="F588" s="477" t="s">
        <v>1476</v>
      </c>
      <c r="G588" s="579" t="s">
        <v>1914</v>
      </c>
      <c r="H588" s="482">
        <v>15</v>
      </c>
      <c r="I588" s="580"/>
      <c r="J588" s="580"/>
      <c r="K588" s="581">
        <v>25.64</v>
      </c>
      <c r="L588" s="581"/>
      <c r="M588" s="582"/>
      <c r="N588" s="582"/>
      <c r="O588" s="582"/>
      <c r="P588" s="582">
        <f t="shared" si="231"/>
        <v>25.64</v>
      </c>
      <c r="Q588" s="582">
        <f t="shared" si="232"/>
        <v>0</v>
      </c>
      <c r="R588" s="583">
        <f t="shared" si="233"/>
        <v>0</v>
      </c>
      <c r="S588" s="584"/>
      <c r="T588" s="584"/>
      <c r="U588" s="585">
        <f t="shared" si="234"/>
        <v>0</v>
      </c>
      <c r="V588" s="586" t="str">
        <f t="shared" si="235"/>
        <v/>
      </c>
      <c r="W588" s="683" t="s">
        <v>2328</v>
      </c>
      <c r="X588" s="619">
        <f t="shared" si="248"/>
        <v>2</v>
      </c>
      <c r="Y588" s="618" t="s">
        <v>2051</v>
      </c>
      <c r="Z588" s="624">
        <v>0</v>
      </c>
      <c r="AA588" s="361">
        <f t="shared" si="236"/>
        <v>0</v>
      </c>
      <c r="AB588" s="597"/>
      <c r="AC588" s="485">
        <f t="shared" si="237"/>
        <v>0</v>
      </c>
      <c r="AD588" s="597"/>
      <c r="AE588" s="485">
        <f t="shared" si="238"/>
        <v>0</v>
      </c>
      <c r="AF588" s="508">
        <f t="shared" si="239"/>
        <v>0</v>
      </c>
      <c r="AG588" s="508">
        <f t="shared" si="240"/>
        <v>0</v>
      </c>
      <c r="AH588" s="508">
        <f t="shared" si="241"/>
        <v>0</v>
      </c>
      <c r="AI588" s="508">
        <f t="shared" si="242"/>
        <v>0</v>
      </c>
      <c r="AJ588" s="508">
        <f t="shared" si="243"/>
        <v>0</v>
      </c>
      <c r="AK588" s="508">
        <f t="shared" si="244"/>
        <v>0</v>
      </c>
      <c r="AM588" s="486">
        <f t="shared" si="245"/>
        <v>118</v>
      </c>
      <c r="AN588" s="117">
        <f t="shared" si="246"/>
        <v>-118</v>
      </c>
      <c r="AO588" s="487" t="e">
        <f t="shared" si="247"/>
        <v>#DIV/0!</v>
      </c>
      <c r="AP588" s="610"/>
    </row>
    <row r="589" spans="1:42" ht="15" hidden="1" customHeight="1" outlineLevel="1">
      <c r="A589" s="666">
        <v>453</v>
      </c>
      <c r="B589" s="477"/>
      <c r="C589" s="611" t="s">
        <v>1804</v>
      </c>
      <c r="D589" s="477" t="s">
        <v>1805</v>
      </c>
      <c r="E589" s="475" t="s">
        <v>1453</v>
      </c>
      <c r="F589" s="477" t="s">
        <v>1476</v>
      </c>
      <c r="G589" s="579" t="s">
        <v>1914</v>
      </c>
      <c r="H589" s="482">
        <v>1</v>
      </c>
      <c r="I589" s="580"/>
      <c r="J589" s="580"/>
      <c r="K589" s="581">
        <v>273.5</v>
      </c>
      <c r="L589" s="581"/>
      <c r="M589" s="582"/>
      <c r="N589" s="582"/>
      <c r="O589" s="582"/>
      <c r="P589" s="582">
        <f t="shared" si="231"/>
        <v>273.5</v>
      </c>
      <c r="Q589" s="582">
        <f t="shared" si="232"/>
        <v>0</v>
      </c>
      <c r="R589" s="583">
        <f t="shared" si="233"/>
        <v>0</v>
      </c>
      <c r="S589" s="584"/>
      <c r="T589" s="584"/>
      <c r="U589" s="585">
        <f t="shared" si="234"/>
        <v>0</v>
      </c>
      <c r="V589" s="586" t="str">
        <f t="shared" si="235"/>
        <v/>
      </c>
      <c r="W589" s="683" t="s">
        <v>2328</v>
      </c>
      <c r="X589" s="619">
        <f t="shared" si="248"/>
        <v>320</v>
      </c>
      <c r="Y589" s="618" t="s">
        <v>2051</v>
      </c>
      <c r="Z589" s="624">
        <v>0</v>
      </c>
      <c r="AA589" s="361">
        <f t="shared" si="236"/>
        <v>0</v>
      </c>
      <c r="AB589" s="597"/>
      <c r="AC589" s="485">
        <f t="shared" si="237"/>
        <v>0</v>
      </c>
      <c r="AD589" s="597"/>
      <c r="AE589" s="485">
        <f t="shared" si="238"/>
        <v>0</v>
      </c>
      <c r="AF589" s="508">
        <f t="shared" si="239"/>
        <v>0</v>
      </c>
      <c r="AG589" s="508">
        <f t="shared" si="240"/>
        <v>0</v>
      </c>
      <c r="AH589" s="508">
        <f t="shared" si="241"/>
        <v>0</v>
      </c>
      <c r="AI589" s="508">
        <f t="shared" si="242"/>
        <v>0</v>
      </c>
      <c r="AJ589" s="508">
        <f t="shared" si="243"/>
        <v>0</v>
      </c>
      <c r="AK589" s="508">
        <f t="shared" si="244"/>
        <v>0</v>
      </c>
      <c r="AM589" s="486">
        <f t="shared" si="245"/>
        <v>118</v>
      </c>
      <c r="AN589" s="117">
        <f t="shared" si="246"/>
        <v>-118</v>
      </c>
      <c r="AO589" s="487" t="e">
        <f t="shared" si="247"/>
        <v>#DIV/0!</v>
      </c>
      <c r="AP589" s="610"/>
    </row>
    <row r="590" spans="1:42" ht="15" hidden="1" customHeight="1" outlineLevel="1">
      <c r="A590" s="666">
        <v>454</v>
      </c>
      <c r="B590" s="477"/>
      <c r="C590" s="611" t="s">
        <v>1832</v>
      </c>
      <c r="D590" s="477" t="s">
        <v>1836</v>
      </c>
      <c r="E590" s="475" t="s">
        <v>1453</v>
      </c>
      <c r="F590" s="477" t="s">
        <v>1476</v>
      </c>
      <c r="G590" s="579" t="s">
        <v>1914</v>
      </c>
      <c r="H590" s="482">
        <v>46</v>
      </c>
      <c r="I590" s="580"/>
      <c r="J590" s="580"/>
      <c r="K590" s="581">
        <v>54.25</v>
      </c>
      <c r="L590" s="581"/>
      <c r="M590" s="582"/>
      <c r="N590" s="582"/>
      <c r="O590" s="582"/>
      <c r="P590" s="582">
        <f t="shared" si="231"/>
        <v>54.25</v>
      </c>
      <c r="Q590" s="582">
        <f t="shared" si="232"/>
        <v>0</v>
      </c>
      <c r="R590" s="583">
        <f t="shared" si="233"/>
        <v>0</v>
      </c>
      <c r="S590" s="584"/>
      <c r="T590" s="584"/>
      <c r="U590" s="585">
        <f t="shared" si="234"/>
        <v>0</v>
      </c>
      <c r="V590" s="586" t="str">
        <f t="shared" si="235"/>
        <v/>
      </c>
      <c r="W590" s="683" t="s">
        <v>2328</v>
      </c>
      <c r="X590" s="619">
        <f t="shared" si="248"/>
        <v>1.38</v>
      </c>
      <c r="Y590" s="618" t="s">
        <v>2051</v>
      </c>
      <c r="Z590" s="624">
        <v>0</v>
      </c>
      <c r="AA590" s="361">
        <f t="shared" si="236"/>
        <v>0</v>
      </c>
      <c r="AB590" s="597"/>
      <c r="AC590" s="485">
        <f t="shared" si="237"/>
        <v>0</v>
      </c>
      <c r="AD590" s="597"/>
      <c r="AE590" s="485">
        <f t="shared" si="238"/>
        <v>0</v>
      </c>
      <c r="AF590" s="508">
        <f t="shared" si="239"/>
        <v>0</v>
      </c>
      <c r="AG590" s="508">
        <f t="shared" si="240"/>
        <v>0</v>
      </c>
      <c r="AH590" s="508">
        <f t="shared" si="241"/>
        <v>0</v>
      </c>
      <c r="AI590" s="508">
        <f t="shared" si="242"/>
        <v>0</v>
      </c>
      <c r="AJ590" s="508">
        <f t="shared" si="243"/>
        <v>0</v>
      </c>
      <c r="AK590" s="508">
        <f t="shared" si="244"/>
        <v>0</v>
      </c>
      <c r="AM590" s="486">
        <f t="shared" si="245"/>
        <v>118</v>
      </c>
      <c r="AN590" s="117">
        <f t="shared" si="246"/>
        <v>-118</v>
      </c>
      <c r="AO590" s="487" t="e">
        <f t="shared" si="247"/>
        <v>#DIV/0!</v>
      </c>
      <c r="AP590" s="610"/>
    </row>
    <row r="591" spans="1:42" ht="15" hidden="1" customHeight="1" outlineLevel="1">
      <c r="A591" s="666">
        <v>458</v>
      </c>
      <c r="B591" s="477"/>
      <c r="C591" s="611" t="s">
        <v>1809</v>
      </c>
      <c r="D591" s="477" t="s">
        <v>1807</v>
      </c>
      <c r="E591" s="475" t="s">
        <v>1453</v>
      </c>
      <c r="F591" s="477" t="s">
        <v>1476</v>
      </c>
      <c r="G591" s="579" t="s">
        <v>1914</v>
      </c>
      <c r="H591" s="482">
        <v>8</v>
      </c>
      <c r="I591" s="580"/>
      <c r="J591" s="580"/>
      <c r="K591" s="581">
        <v>18.73</v>
      </c>
      <c r="L591" s="581"/>
      <c r="M591" s="582"/>
      <c r="N591" s="582"/>
      <c r="O591" s="582"/>
      <c r="P591" s="582">
        <f t="shared" si="231"/>
        <v>18.73</v>
      </c>
      <c r="Q591" s="582">
        <f t="shared" si="232"/>
        <v>0</v>
      </c>
      <c r="R591" s="583">
        <f t="shared" si="233"/>
        <v>0</v>
      </c>
      <c r="S591" s="584"/>
      <c r="T591" s="584"/>
      <c r="U591" s="585">
        <f t="shared" si="234"/>
        <v>0</v>
      </c>
      <c r="V591" s="586" t="str">
        <f t="shared" si="235"/>
        <v/>
      </c>
      <c r="W591" s="683" t="s">
        <v>2328</v>
      </c>
      <c r="X591" s="619">
        <f t="shared" si="248"/>
        <v>2.74</v>
      </c>
      <c r="Y591" s="618" t="s">
        <v>2051</v>
      </c>
      <c r="Z591" s="624">
        <v>0</v>
      </c>
      <c r="AA591" s="361">
        <f t="shared" si="236"/>
        <v>0</v>
      </c>
      <c r="AB591" s="597"/>
      <c r="AC591" s="485">
        <f t="shared" si="237"/>
        <v>0</v>
      </c>
      <c r="AD591" s="597"/>
      <c r="AE591" s="485">
        <f t="shared" si="238"/>
        <v>0</v>
      </c>
      <c r="AF591" s="508">
        <f t="shared" si="239"/>
        <v>0</v>
      </c>
      <c r="AG591" s="508">
        <f t="shared" si="240"/>
        <v>0</v>
      </c>
      <c r="AH591" s="508">
        <f t="shared" si="241"/>
        <v>0</v>
      </c>
      <c r="AI591" s="508">
        <f t="shared" si="242"/>
        <v>0</v>
      </c>
      <c r="AJ591" s="508">
        <f t="shared" si="243"/>
        <v>0</v>
      </c>
      <c r="AK591" s="508">
        <f t="shared" si="244"/>
        <v>0</v>
      </c>
      <c r="AM591" s="486">
        <f t="shared" si="245"/>
        <v>118</v>
      </c>
      <c r="AN591" s="117">
        <f t="shared" si="246"/>
        <v>-118</v>
      </c>
      <c r="AO591" s="487" t="e">
        <f t="shared" si="247"/>
        <v>#DIV/0!</v>
      </c>
      <c r="AP591" s="610"/>
    </row>
    <row r="592" spans="1:42" ht="15" hidden="1" customHeight="1" outlineLevel="1">
      <c r="A592" s="666">
        <v>459</v>
      </c>
      <c r="B592" s="477"/>
      <c r="C592" s="611" t="s">
        <v>1919</v>
      </c>
      <c r="D592" s="477" t="s">
        <v>1900</v>
      </c>
      <c r="E592" s="475" t="s">
        <v>1453</v>
      </c>
      <c r="F592" s="477" t="s">
        <v>1476</v>
      </c>
      <c r="G592" s="579" t="s">
        <v>1914</v>
      </c>
      <c r="H592" s="482">
        <v>23</v>
      </c>
      <c r="I592" s="580"/>
      <c r="J592" s="580"/>
      <c r="K592" s="581">
        <v>294.87</v>
      </c>
      <c r="L592" s="581"/>
      <c r="M592" s="582"/>
      <c r="N592" s="582"/>
      <c r="O592" s="582"/>
      <c r="P592" s="582">
        <f t="shared" si="231"/>
        <v>294.87</v>
      </c>
      <c r="Q592" s="582">
        <f t="shared" si="232"/>
        <v>0</v>
      </c>
      <c r="R592" s="583">
        <f t="shared" si="233"/>
        <v>0</v>
      </c>
      <c r="S592" s="584"/>
      <c r="T592" s="584"/>
      <c r="U592" s="585">
        <f t="shared" si="234"/>
        <v>0</v>
      </c>
      <c r="V592" s="586" t="str">
        <f t="shared" si="235"/>
        <v/>
      </c>
      <c r="W592" s="683" t="s">
        <v>2328</v>
      </c>
      <c r="X592" s="619">
        <f t="shared" si="248"/>
        <v>15</v>
      </c>
      <c r="Y592" s="618" t="s">
        <v>2051</v>
      </c>
      <c r="Z592" s="624">
        <v>0</v>
      </c>
      <c r="AA592" s="361">
        <f t="shared" si="236"/>
        <v>0</v>
      </c>
      <c r="AB592" s="597"/>
      <c r="AC592" s="485">
        <f t="shared" si="237"/>
        <v>0</v>
      </c>
      <c r="AD592" s="597"/>
      <c r="AE592" s="485">
        <f t="shared" si="238"/>
        <v>0</v>
      </c>
      <c r="AF592" s="508">
        <f t="shared" si="239"/>
        <v>0</v>
      </c>
      <c r="AG592" s="508">
        <f t="shared" si="240"/>
        <v>0</v>
      </c>
      <c r="AH592" s="508">
        <f t="shared" si="241"/>
        <v>0</v>
      </c>
      <c r="AI592" s="508">
        <f t="shared" si="242"/>
        <v>0</v>
      </c>
      <c r="AJ592" s="508">
        <f t="shared" si="243"/>
        <v>0</v>
      </c>
      <c r="AK592" s="508">
        <f t="shared" si="244"/>
        <v>0</v>
      </c>
      <c r="AM592" s="486">
        <f t="shared" si="245"/>
        <v>118</v>
      </c>
      <c r="AN592" s="117">
        <f t="shared" si="246"/>
        <v>-118</v>
      </c>
      <c r="AO592" s="487" t="e">
        <f t="shared" si="247"/>
        <v>#DIV/0!</v>
      </c>
      <c r="AP592" s="610"/>
    </row>
    <row r="593" spans="1:42" ht="15" hidden="1" customHeight="1" outlineLevel="1">
      <c r="A593" s="666">
        <v>460</v>
      </c>
      <c r="B593" s="477"/>
      <c r="C593" s="477" t="s">
        <v>1819</v>
      </c>
      <c r="D593" s="477" t="s">
        <v>1820</v>
      </c>
      <c r="E593" s="475" t="s">
        <v>1453</v>
      </c>
      <c r="F593" s="477" t="s">
        <v>1476</v>
      </c>
      <c r="G593" s="579" t="s">
        <v>1914</v>
      </c>
      <c r="H593" s="482">
        <v>5</v>
      </c>
      <c r="I593" s="580"/>
      <c r="J593" s="580"/>
      <c r="K593" s="581">
        <v>0.96</v>
      </c>
      <c r="L593" s="581"/>
      <c r="M593" s="582"/>
      <c r="N593" s="582"/>
      <c r="O593" s="582"/>
      <c r="P593" s="582">
        <f t="shared" si="231"/>
        <v>0.96</v>
      </c>
      <c r="Q593" s="582">
        <f t="shared" si="232"/>
        <v>0</v>
      </c>
      <c r="R593" s="583">
        <f t="shared" si="233"/>
        <v>0</v>
      </c>
      <c r="S593" s="584"/>
      <c r="T593" s="584"/>
      <c r="U593" s="585">
        <f t="shared" si="234"/>
        <v>0</v>
      </c>
      <c r="V593" s="586" t="str">
        <f t="shared" si="235"/>
        <v/>
      </c>
      <c r="W593" s="683" t="s">
        <v>2328</v>
      </c>
      <c r="X593" s="619">
        <f t="shared" si="248"/>
        <v>0.22</v>
      </c>
      <c r="Y593" s="618" t="s">
        <v>2051</v>
      </c>
      <c r="Z593" s="624">
        <v>0</v>
      </c>
      <c r="AA593" s="361">
        <f t="shared" si="236"/>
        <v>0</v>
      </c>
      <c r="AB593" s="597"/>
      <c r="AC593" s="485">
        <f t="shared" si="237"/>
        <v>0</v>
      </c>
      <c r="AD593" s="597"/>
      <c r="AE593" s="485">
        <f t="shared" si="238"/>
        <v>0</v>
      </c>
      <c r="AF593" s="508">
        <f t="shared" si="239"/>
        <v>0</v>
      </c>
      <c r="AG593" s="508">
        <f t="shared" si="240"/>
        <v>0</v>
      </c>
      <c r="AH593" s="508">
        <f t="shared" si="241"/>
        <v>0</v>
      </c>
      <c r="AI593" s="508">
        <f t="shared" si="242"/>
        <v>0</v>
      </c>
      <c r="AJ593" s="508">
        <f t="shared" si="243"/>
        <v>0</v>
      </c>
      <c r="AK593" s="508">
        <f t="shared" si="244"/>
        <v>0</v>
      </c>
      <c r="AM593" s="486">
        <f t="shared" si="245"/>
        <v>118</v>
      </c>
      <c r="AN593" s="117">
        <f t="shared" si="246"/>
        <v>-118</v>
      </c>
      <c r="AO593" s="487" t="e">
        <f t="shared" si="247"/>
        <v>#DIV/0!</v>
      </c>
      <c r="AP593" s="610"/>
    </row>
    <row r="594" spans="1:42" ht="15" hidden="1" customHeight="1" outlineLevel="1">
      <c r="A594" s="666">
        <v>461</v>
      </c>
      <c r="B594" s="477"/>
      <c r="C594" s="611" t="s">
        <v>1816</v>
      </c>
      <c r="D594" s="477" t="s">
        <v>1817</v>
      </c>
      <c r="E594" s="475" t="s">
        <v>1453</v>
      </c>
      <c r="F594" s="477" t="s">
        <v>1476</v>
      </c>
      <c r="G594" s="579" t="s">
        <v>1914</v>
      </c>
      <c r="H594" s="482">
        <v>70</v>
      </c>
      <c r="I594" s="580"/>
      <c r="J594" s="580"/>
      <c r="K594" s="581">
        <v>52.14</v>
      </c>
      <c r="L594" s="581"/>
      <c r="M594" s="582"/>
      <c r="N594" s="582"/>
      <c r="O594" s="582"/>
      <c r="P594" s="582">
        <f t="shared" si="231"/>
        <v>52.14</v>
      </c>
      <c r="Q594" s="582">
        <f t="shared" si="232"/>
        <v>0</v>
      </c>
      <c r="R594" s="583">
        <f t="shared" si="233"/>
        <v>0</v>
      </c>
      <c r="S594" s="584"/>
      <c r="T594" s="584"/>
      <c r="U594" s="585">
        <f t="shared" si="234"/>
        <v>0</v>
      </c>
      <c r="V594" s="586" t="str">
        <f t="shared" si="235"/>
        <v/>
      </c>
      <c r="W594" s="683" t="s">
        <v>2328</v>
      </c>
      <c r="X594" s="619">
        <f t="shared" si="248"/>
        <v>0.87</v>
      </c>
      <c r="Y594" s="618" t="s">
        <v>2051</v>
      </c>
      <c r="Z594" s="624">
        <v>0</v>
      </c>
      <c r="AA594" s="361">
        <f t="shared" si="236"/>
        <v>0</v>
      </c>
      <c r="AB594" s="597"/>
      <c r="AC594" s="485">
        <f t="shared" si="237"/>
        <v>0</v>
      </c>
      <c r="AD594" s="597"/>
      <c r="AE594" s="485">
        <f t="shared" si="238"/>
        <v>0</v>
      </c>
      <c r="AF594" s="508">
        <f t="shared" si="239"/>
        <v>0</v>
      </c>
      <c r="AG594" s="508">
        <f t="shared" si="240"/>
        <v>0</v>
      </c>
      <c r="AH594" s="508">
        <f t="shared" si="241"/>
        <v>0</v>
      </c>
      <c r="AI594" s="508">
        <f t="shared" si="242"/>
        <v>0</v>
      </c>
      <c r="AJ594" s="508">
        <f t="shared" si="243"/>
        <v>0</v>
      </c>
      <c r="AK594" s="508">
        <f t="shared" si="244"/>
        <v>0</v>
      </c>
      <c r="AM594" s="486">
        <f t="shared" si="245"/>
        <v>118</v>
      </c>
      <c r="AN594" s="117">
        <f t="shared" si="246"/>
        <v>-118</v>
      </c>
      <c r="AO594" s="487" t="e">
        <f t="shared" si="247"/>
        <v>#DIV/0!</v>
      </c>
      <c r="AP594" s="610"/>
    </row>
    <row r="595" spans="1:42" ht="15" hidden="1" customHeight="1" outlineLevel="1">
      <c r="A595" s="666">
        <v>462</v>
      </c>
      <c r="B595" s="477"/>
      <c r="C595" s="611" t="s">
        <v>1816</v>
      </c>
      <c r="D595" s="477" t="s">
        <v>1818</v>
      </c>
      <c r="E595" s="475" t="s">
        <v>1453</v>
      </c>
      <c r="F595" s="477" t="s">
        <v>1476</v>
      </c>
      <c r="G595" s="579" t="s">
        <v>1914</v>
      </c>
      <c r="H595" s="482">
        <v>30</v>
      </c>
      <c r="I595" s="580"/>
      <c r="J595" s="580"/>
      <c r="K595" s="581">
        <v>76.92</v>
      </c>
      <c r="L595" s="581"/>
      <c r="M595" s="582"/>
      <c r="N595" s="582"/>
      <c r="O595" s="582"/>
      <c r="P595" s="582">
        <f t="shared" si="231"/>
        <v>76.92</v>
      </c>
      <c r="Q595" s="582">
        <f t="shared" si="232"/>
        <v>0</v>
      </c>
      <c r="R595" s="583">
        <f t="shared" si="233"/>
        <v>0</v>
      </c>
      <c r="S595" s="584"/>
      <c r="T595" s="584"/>
      <c r="U595" s="585">
        <f t="shared" si="234"/>
        <v>0</v>
      </c>
      <c r="V595" s="586" t="str">
        <f t="shared" si="235"/>
        <v/>
      </c>
      <c r="W595" s="683" t="s">
        <v>2328</v>
      </c>
      <c r="X595" s="619">
        <f t="shared" si="248"/>
        <v>3</v>
      </c>
      <c r="Y595" s="618" t="s">
        <v>2051</v>
      </c>
      <c r="Z595" s="624">
        <v>0</v>
      </c>
      <c r="AA595" s="361">
        <f t="shared" si="236"/>
        <v>0</v>
      </c>
      <c r="AB595" s="597"/>
      <c r="AC595" s="485">
        <f t="shared" si="237"/>
        <v>0</v>
      </c>
      <c r="AD595" s="597"/>
      <c r="AE595" s="485">
        <f t="shared" si="238"/>
        <v>0</v>
      </c>
      <c r="AF595" s="508">
        <f t="shared" si="239"/>
        <v>0</v>
      </c>
      <c r="AG595" s="508">
        <f t="shared" si="240"/>
        <v>0</v>
      </c>
      <c r="AH595" s="508">
        <f t="shared" si="241"/>
        <v>0</v>
      </c>
      <c r="AI595" s="508">
        <f t="shared" si="242"/>
        <v>0</v>
      </c>
      <c r="AJ595" s="508">
        <f t="shared" si="243"/>
        <v>0</v>
      </c>
      <c r="AK595" s="508">
        <f t="shared" si="244"/>
        <v>0</v>
      </c>
      <c r="AM595" s="486">
        <f t="shared" si="245"/>
        <v>118</v>
      </c>
      <c r="AN595" s="117">
        <f t="shared" si="246"/>
        <v>-118</v>
      </c>
      <c r="AO595" s="487" t="e">
        <f t="shared" si="247"/>
        <v>#DIV/0!</v>
      </c>
      <c r="AP595" s="610"/>
    </row>
    <row r="596" spans="1:42" ht="15" hidden="1" customHeight="1" outlineLevel="1">
      <c r="A596" s="666">
        <v>463</v>
      </c>
      <c r="B596" s="477"/>
      <c r="C596" s="611" t="s">
        <v>1827</v>
      </c>
      <c r="D596" s="477" t="s">
        <v>1828</v>
      </c>
      <c r="E596" s="475" t="s">
        <v>1453</v>
      </c>
      <c r="F596" s="477"/>
      <c r="G596" s="579" t="s">
        <v>1065</v>
      </c>
      <c r="H596" s="482">
        <v>1</v>
      </c>
      <c r="I596" s="580"/>
      <c r="J596" s="580"/>
      <c r="K596" s="581">
        <v>692.31</v>
      </c>
      <c r="L596" s="581"/>
      <c r="M596" s="582"/>
      <c r="N596" s="582"/>
      <c r="O596" s="582"/>
      <c r="P596" s="582">
        <f t="shared" ref="P596:P625" si="249">K596+N596</f>
        <v>692.31</v>
      </c>
      <c r="Q596" s="582">
        <f t="shared" ref="Q596:Q625" si="250">L596+O596</f>
        <v>0</v>
      </c>
      <c r="R596" s="583">
        <f t="shared" ref="R596:R625" si="251">AK596</f>
        <v>0</v>
      </c>
      <c r="S596" s="584"/>
      <c r="T596" s="584"/>
      <c r="U596" s="585">
        <f t="shared" ref="U596:U625" si="252">IF(S596="",R596,ROUND(R596*S596/100,0))</f>
        <v>0</v>
      </c>
      <c r="V596" s="586" t="str">
        <f t="shared" ref="V596:V625" si="253">IF(Q596=0,"",(U596-Q596)/Q596*100)</f>
        <v/>
      </c>
      <c r="W596" s="683" t="s">
        <v>2328</v>
      </c>
      <c r="X596" s="619">
        <f t="shared" si="248"/>
        <v>810</v>
      </c>
      <c r="Y596" s="618" t="s">
        <v>2051</v>
      </c>
      <c r="Z596" s="624">
        <v>0</v>
      </c>
      <c r="AA596" s="361">
        <f t="shared" ref="AA596:AA625" si="254">Z596/1.17</f>
        <v>0</v>
      </c>
      <c r="AB596" s="597"/>
      <c r="AC596" s="485">
        <f t="shared" ref="AC596:AC625" si="255">Z596*AB596</f>
        <v>0</v>
      </c>
      <c r="AD596" s="597"/>
      <c r="AE596" s="485">
        <f t="shared" ref="AE596:AE625" si="256">Z596*AD596</f>
        <v>0</v>
      </c>
      <c r="AF596" s="508">
        <f t="shared" ref="AF596:AF625" si="257">(Z596+AC596+AE596)*AF$4</f>
        <v>0</v>
      </c>
      <c r="AG596" s="508">
        <f t="shared" ref="AG596:AG625" si="258">(Z596+AC596+AE596)*AG$4</f>
        <v>0</v>
      </c>
      <c r="AH596" s="508">
        <f t="shared" ref="AH596:AH625" si="259">Z596+AC596+AE596+AF596</f>
        <v>0</v>
      </c>
      <c r="AI596" s="508">
        <f t="shared" ref="AI596:AI625" si="260">AH596*AI$3*AI$4/2</f>
        <v>0</v>
      </c>
      <c r="AJ596" s="508">
        <f t="shared" ref="AJ596:AJ625" si="261">Z596*0.17/1.17+AC596*0.11/1.11+AE596*0.11/1.11+AF596-AG596</f>
        <v>0</v>
      </c>
      <c r="AK596" s="508">
        <f t="shared" ref="AK596:AK625" si="262">ROUND((Z596+AC596+AE596+AF596+AI596-AJ596)*H596,-2)</f>
        <v>0</v>
      </c>
      <c r="AM596" s="486">
        <f t="shared" ref="AM596:AM625" si="263">(AM$4-J596)/365</f>
        <v>118</v>
      </c>
      <c r="AN596" s="117">
        <f t="shared" ref="AN596:AN625" si="264">ROUND((AL596-AM596),0)</f>
        <v>-118</v>
      </c>
      <c r="AO596" s="487" t="e">
        <f t="shared" ref="AO596:AO625" si="265">AN596/(AM596+AN596)*100</f>
        <v>#DIV/0!</v>
      </c>
      <c r="AP596" s="610"/>
    </row>
    <row r="597" spans="1:42" ht="15" hidden="1" customHeight="1" outlineLevel="1">
      <c r="A597" s="666">
        <v>464</v>
      </c>
      <c r="B597" s="477"/>
      <c r="C597" s="611" t="s">
        <v>1832</v>
      </c>
      <c r="D597" s="477" t="s">
        <v>1833</v>
      </c>
      <c r="E597" s="475" t="s">
        <v>1453</v>
      </c>
      <c r="F597" s="477"/>
      <c r="G597" s="579" t="s">
        <v>1914</v>
      </c>
      <c r="H597" s="482">
        <v>20</v>
      </c>
      <c r="I597" s="580"/>
      <c r="J597" s="580"/>
      <c r="K597" s="581">
        <v>16.75</v>
      </c>
      <c r="L597" s="581"/>
      <c r="M597" s="582"/>
      <c r="N597" s="582"/>
      <c r="O597" s="582"/>
      <c r="P597" s="582">
        <f t="shared" si="249"/>
        <v>16.75</v>
      </c>
      <c r="Q597" s="582">
        <f t="shared" si="250"/>
        <v>0</v>
      </c>
      <c r="R597" s="583">
        <f t="shared" si="251"/>
        <v>0</v>
      </c>
      <c r="S597" s="584"/>
      <c r="T597" s="584"/>
      <c r="U597" s="585">
        <f t="shared" si="252"/>
        <v>0</v>
      </c>
      <c r="V597" s="586" t="str">
        <f t="shared" si="253"/>
        <v/>
      </c>
      <c r="W597" s="683" t="s">
        <v>2328</v>
      </c>
      <c r="X597" s="619">
        <f t="shared" si="248"/>
        <v>0.98</v>
      </c>
      <c r="Y597" s="618" t="s">
        <v>2051</v>
      </c>
      <c r="Z597" s="624">
        <v>0</v>
      </c>
      <c r="AA597" s="361">
        <f t="shared" si="254"/>
        <v>0</v>
      </c>
      <c r="AB597" s="597"/>
      <c r="AC597" s="485">
        <f t="shared" si="255"/>
        <v>0</v>
      </c>
      <c r="AD597" s="597"/>
      <c r="AE597" s="485">
        <f t="shared" si="256"/>
        <v>0</v>
      </c>
      <c r="AF597" s="508">
        <f t="shared" si="257"/>
        <v>0</v>
      </c>
      <c r="AG597" s="508">
        <f t="shared" si="258"/>
        <v>0</v>
      </c>
      <c r="AH597" s="508">
        <f t="shared" si="259"/>
        <v>0</v>
      </c>
      <c r="AI597" s="508">
        <f t="shared" si="260"/>
        <v>0</v>
      </c>
      <c r="AJ597" s="508">
        <f t="shared" si="261"/>
        <v>0</v>
      </c>
      <c r="AK597" s="508">
        <f t="shared" si="262"/>
        <v>0</v>
      </c>
      <c r="AM597" s="486">
        <f t="shared" si="263"/>
        <v>118</v>
      </c>
      <c r="AN597" s="117">
        <f t="shared" si="264"/>
        <v>-118</v>
      </c>
      <c r="AO597" s="487" t="e">
        <f t="shared" si="265"/>
        <v>#DIV/0!</v>
      </c>
      <c r="AP597" s="610"/>
    </row>
    <row r="598" spans="1:42" ht="15" hidden="1" customHeight="1" outlineLevel="1">
      <c r="A598" s="666">
        <v>465</v>
      </c>
      <c r="B598" s="477"/>
      <c r="C598" s="477" t="s">
        <v>1834</v>
      </c>
      <c r="D598" s="477" t="s">
        <v>1835</v>
      </c>
      <c r="E598" s="475" t="s">
        <v>1453</v>
      </c>
      <c r="F598" s="477"/>
      <c r="G598" s="579" t="s">
        <v>1914</v>
      </c>
      <c r="H598" s="482">
        <v>50</v>
      </c>
      <c r="I598" s="580"/>
      <c r="J598" s="580"/>
      <c r="K598" s="581">
        <v>36.32</v>
      </c>
      <c r="L598" s="581"/>
      <c r="M598" s="582"/>
      <c r="N598" s="582"/>
      <c r="O598" s="582"/>
      <c r="P598" s="582">
        <f t="shared" si="249"/>
        <v>36.32</v>
      </c>
      <c r="Q598" s="582">
        <f t="shared" si="250"/>
        <v>0</v>
      </c>
      <c r="R598" s="583">
        <f t="shared" si="251"/>
        <v>0</v>
      </c>
      <c r="S598" s="584"/>
      <c r="T598" s="584"/>
      <c r="U598" s="585">
        <f t="shared" si="252"/>
        <v>0</v>
      </c>
      <c r="V598" s="586" t="str">
        <f t="shared" si="253"/>
        <v/>
      </c>
      <c r="W598" s="683" t="s">
        <v>2328</v>
      </c>
      <c r="X598" s="619">
        <f t="shared" ref="X598:X625" si="266">P598*1.17/H598</f>
        <v>0.85</v>
      </c>
      <c r="Y598" s="618" t="s">
        <v>2051</v>
      </c>
      <c r="Z598" s="624">
        <v>0</v>
      </c>
      <c r="AA598" s="361">
        <f t="shared" si="254"/>
        <v>0</v>
      </c>
      <c r="AB598" s="597"/>
      <c r="AC598" s="485">
        <f t="shared" si="255"/>
        <v>0</v>
      </c>
      <c r="AD598" s="597"/>
      <c r="AE598" s="485">
        <f t="shared" si="256"/>
        <v>0</v>
      </c>
      <c r="AF598" s="508">
        <f t="shared" si="257"/>
        <v>0</v>
      </c>
      <c r="AG598" s="508">
        <f t="shared" si="258"/>
        <v>0</v>
      </c>
      <c r="AH598" s="508">
        <f t="shared" si="259"/>
        <v>0</v>
      </c>
      <c r="AI598" s="508">
        <f t="shared" si="260"/>
        <v>0</v>
      </c>
      <c r="AJ598" s="508">
        <f t="shared" si="261"/>
        <v>0</v>
      </c>
      <c r="AK598" s="508">
        <f t="shared" si="262"/>
        <v>0</v>
      </c>
      <c r="AM598" s="486">
        <f t="shared" si="263"/>
        <v>118</v>
      </c>
      <c r="AN598" s="117">
        <f t="shared" si="264"/>
        <v>-118</v>
      </c>
      <c r="AO598" s="487" t="e">
        <f t="shared" si="265"/>
        <v>#DIV/0!</v>
      </c>
      <c r="AP598" s="610"/>
    </row>
    <row r="599" spans="1:42" ht="15" hidden="1" customHeight="1" outlineLevel="1">
      <c r="A599" s="666">
        <v>466</v>
      </c>
      <c r="B599" s="477"/>
      <c r="C599" s="477" t="s">
        <v>1720</v>
      </c>
      <c r="D599" s="477" t="s">
        <v>1724</v>
      </c>
      <c r="E599" s="475" t="s">
        <v>1453</v>
      </c>
      <c r="F599" s="611" t="s">
        <v>2009</v>
      </c>
      <c r="G599" s="579" t="s">
        <v>1065</v>
      </c>
      <c r="H599" s="482">
        <v>2</v>
      </c>
      <c r="I599" s="580">
        <v>41943</v>
      </c>
      <c r="J599" s="580">
        <v>41943</v>
      </c>
      <c r="K599" s="581">
        <v>1056.4100000000001</v>
      </c>
      <c r="L599" s="581"/>
      <c r="M599" s="582"/>
      <c r="N599" s="582"/>
      <c r="O599" s="582"/>
      <c r="P599" s="582">
        <f t="shared" si="249"/>
        <v>1056.4100000000001</v>
      </c>
      <c r="Q599" s="582">
        <f t="shared" si="250"/>
        <v>0</v>
      </c>
      <c r="R599" s="583">
        <f t="shared" si="251"/>
        <v>0</v>
      </c>
      <c r="S599" s="584"/>
      <c r="T599" s="584"/>
      <c r="U599" s="585">
        <f t="shared" si="252"/>
        <v>0</v>
      </c>
      <c r="V599" s="586" t="str">
        <f t="shared" si="253"/>
        <v/>
      </c>
      <c r="W599" s="683" t="s">
        <v>2328</v>
      </c>
      <c r="X599" s="619">
        <f t="shared" si="266"/>
        <v>618</v>
      </c>
      <c r="Y599" s="618" t="s">
        <v>2051</v>
      </c>
      <c r="Z599" s="624">
        <v>0</v>
      </c>
      <c r="AA599" s="361">
        <f t="shared" si="254"/>
        <v>0</v>
      </c>
      <c r="AB599" s="597"/>
      <c r="AC599" s="485">
        <f t="shared" si="255"/>
        <v>0</v>
      </c>
      <c r="AD599" s="597"/>
      <c r="AE599" s="485">
        <f t="shared" si="256"/>
        <v>0</v>
      </c>
      <c r="AF599" s="508">
        <f t="shared" si="257"/>
        <v>0</v>
      </c>
      <c r="AG599" s="508">
        <f t="shared" si="258"/>
        <v>0</v>
      </c>
      <c r="AH599" s="508">
        <f t="shared" si="259"/>
        <v>0</v>
      </c>
      <c r="AI599" s="508">
        <f t="shared" si="260"/>
        <v>0</v>
      </c>
      <c r="AJ599" s="508">
        <f t="shared" si="261"/>
        <v>0</v>
      </c>
      <c r="AK599" s="508">
        <f t="shared" si="262"/>
        <v>0</v>
      </c>
      <c r="AM599" s="486">
        <f t="shared" si="263"/>
        <v>3.08</v>
      </c>
      <c r="AN599" s="117">
        <f t="shared" si="264"/>
        <v>-3</v>
      </c>
      <c r="AO599" s="487">
        <f t="shared" si="265"/>
        <v>-3750</v>
      </c>
      <c r="AP599" s="610"/>
    </row>
    <row r="600" spans="1:42" ht="15" hidden="1" customHeight="1" outlineLevel="1">
      <c r="A600" s="666">
        <v>467</v>
      </c>
      <c r="B600" s="477"/>
      <c r="C600" s="477" t="s">
        <v>1720</v>
      </c>
      <c r="D600" s="477" t="s">
        <v>1722</v>
      </c>
      <c r="E600" s="475" t="s">
        <v>1453</v>
      </c>
      <c r="F600" s="611" t="s">
        <v>2009</v>
      </c>
      <c r="G600" s="579" t="s">
        <v>1065</v>
      </c>
      <c r="H600" s="482">
        <v>2</v>
      </c>
      <c r="I600" s="580">
        <v>41943</v>
      </c>
      <c r="J600" s="580">
        <v>41943</v>
      </c>
      <c r="K600" s="581">
        <v>369.23</v>
      </c>
      <c r="L600" s="581"/>
      <c r="M600" s="582"/>
      <c r="N600" s="582"/>
      <c r="O600" s="582"/>
      <c r="P600" s="582">
        <f t="shared" si="249"/>
        <v>369.23</v>
      </c>
      <c r="Q600" s="582">
        <f t="shared" si="250"/>
        <v>0</v>
      </c>
      <c r="R600" s="583">
        <f t="shared" si="251"/>
        <v>0</v>
      </c>
      <c r="S600" s="584"/>
      <c r="T600" s="584"/>
      <c r="U600" s="585">
        <f t="shared" si="252"/>
        <v>0</v>
      </c>
      <c r="V600" s="586" t="str">
        <f t="shared" si="253"/>
        <v/>
      </c>
      <c r="W600" s="683" t="s">
        <v>2328</v>
      </c>
      <c r="X600" s="619">
        <f t="shared" si="266"/>
        <v>216</v>
      </c>
      <c r="Y600" s="618" t="s">
        <v>2051</v>
      </c>
      <c r="Z600" s="624">
        <v>0</v>
      </c>
      <c r="AA600" s="361">
        <f t="shared" si="254"/>
        <v>0</v>
      </c>
      <c r="AB600" s="597"/>
      <c r="AC600" s="485">
        <f t="shared" si="255"/>
        <v>0</v>
      </c>
      <c r="AD600" s="597"/>
      <c r="AE600" s="485">
        <f t="shared" si="256"/>
        <v>0</v>
      </c>
      <c r="AF600" s="508">
        <f t="shared" si="257"/>
        <v>0</v>
      </c>
      <c r="AG600" s="508">
        <f t="shared" si="258"/>
        <v>0</v>
      </c>
      <c r="AH600" s="508">
        <f t="shared" si="259"/>
        <v>0</v>
      </c>
      <c r="AI600" s="508">
        <f t="shared" si="260"/>
        <v>0</v>
      </c>
      <c r="AJ600" s="508">
        <f t="shared" si="261"/>
        <v>0</v>
      </c>
      <c r="AK600" s="508">
        <f t="shared" si="262"/>
        <v>0</v>
      </c>
      <c r="AM600" s="486">
        <f t="shared" si="263"/>
        <v>3.08</v>
      </c>
      <c r="AN600" s="117">
        <f t="shared" si="264"/>
        <v>-3</v>
      </c>
      <c r="AO600" s="487">
        <f t="shared" si="265"/>
        <v>-3750</v>
      </c>
      <c r="AP600" s="610"/>
    </row>
    <row r="601" spans="1:42" ht="15" hidden="1" customHeight="1" outlineLevel="1">
      <c r="A601" s="666">
        <v>468</v>
      </c>
      <c r="B601" s="477"/>
      <c r="C601" s="477" t="s">
        <v>1720</v>
      </c>
      <c r="D601" s="477" t="s">
        <v>1721</v>
      </c>
      <c r="E601" s="475" t="s">
        <v>1453</v>
      </c>
      <c r="F601" s="611" t="s">
        <v>2009</v>
      </c>
      <c r="G601" s="579" t="s">
        <v>1065</v>
      </c>
      <c r="H601" s="482">
        <v>8</v>
      </c>
      <c r="I601" s="580">
        <v>41943</v>
      </c>
      <c r="J601" s="580">
        <v>41943</v>
      </c>
      <c r="K601" s="581">
        <v>523.08000000000004</v>
      </c>
      <c r="L601" s="581"/>
      <c r="M601" s="582"/>
      <c r="N601" s="582"/>
      <c r="O601" s="582"/>
      <c r="P601" s="582">
        <f t="shared" si="249"/>
        <v>523.08000000000004</v>
      </c>
      <c r="Q601" s="582">
        <f t="shared" si="250"/>
        <v>0</v>
      </c>
      <c r="R601" s="583">
        <f t="shared" si="251"/>
        <v>0</v>
      </c>
      <c r="S601" s="584"/>
      <c r="T601" s="584"/>
      <c r="U601" s="585">
        <f t="shared" si="252"/>
        <v>0</v>
      </c>
      <c r="V601" s="586" t="str">
        <f t="shared" si="253"/>
        <v/>
      </c>
      <c r="W601" s="683" t="s">
        <v>2328</v>
      </c>
      <c r="X601" s="619">
        <f t="shared" si="266"/>
        <v>76.5</v>
      </c>
      <c r="Y601" s="618" t="s">
        <v>2051</v>
      </c>
      <c r="Z601" s="624">
        <v>0</v>
      </c>
      <c r="AA601" s="361">
        <f t="shared" si="254"/>
        <v>0</v>
      </c>
      <c r="AB601" s="597"/>
      <c r="AC601" s="485">
        <f t="shared" si="255"/>
        <v>0</v>
      </c>
      <c r="AD601" s="597"/>
      <c r="AE601" s="485">
        <f t="shared" si="256"/>
        <v>0</v>
      </c>
      <c r="AF601" s="508">
        <f t="shared" si="257"/>
        <v>0</v>
      </c>
      <c r="AG601" s="508">
        <f t="shared" si="258"/>
        <v>0</v>
      </c>
      <c r="AH601" s="508">
        <f t="shared" si="259"/>
        <v>0</v>
      </c>
      <c r="AI601" s="508">
        <f t="shared" si="260"/>
        <v>0</v>
      </c>
      <c r="AJ601" s="508">
        <f t="shared" si="261"/>
        <v>0</v>
      </c>
      <c r="AK601" s="508">
        <f t="shared" si="262"/>
        <v>0</v>
      </c>
      <c r="AM601" s="486">
        <f t="shared" si="263"/>
        <v>3.08</v>
      </c>
      <c r="AN601" s="117">
        <f t="shared" si="264"/>
        <v>-3</v>
      </c>
      <c r="AO601" s="487">
        <f t="shared" si="265"/>
        <v>-3750</v>
      </c>
      <c r="AP601" s="610"/>
    </row>
    <row r="602" spans="1:42" ht="15" hidden="1" customHeight="1" outlineLevel="1">
      <c r="A602" s="666">
        <v>469</v>
      </c>
      <c r="B602" s="477"/>
      <c r="C602" s="477" t="s">
        <v>1720</v>
      </c>
      <c r="D602" s="477" t="s">
        <v>1723</v>
      </c>
      <c r="E602" s="475" t="s">
        <v>1453</v>
      </c>
      <c r="F602" s="611" t="s">
        <v>2009</v>
      </c>
      <c r="G602" s="579" t="s">
        <v>1065</v>
      </c>
      <c r="H602" s="482">
        <v>20</v>
      </c>
      <c r="I602" s="580">
        <v>41943</v>
      </c>
      <c r="J602" s="580">
        <v>41943</v>
      </c>
      <c r="K602" s="581">
        <v>598.29</v>
      </c>
      <c r="L602" s="581"/>
      <c r="M602" s="582"/>
      <c r="N602" s="582"/>
      <c r="O602" s="582"/>
      <c r="P602" s="582">
        <f t="shared" si="249"/>
        <v>598.29</v>
      </c>
      <c r="Q602" s="582">
        <f t="shared" si="250"/>
        <v>0</v>
      </c>
      <c r="R602" s="583">
        <f t="shared" si="251"/>
        <v>0</v>
      </c>
      <c r="S602" s="584"/>
      <c r="T602" s="584"/>
      <c r="U602" s="585">
        <f t="shared" si="252"/>
        <v>0</v>
      </c>
      <c r="V602" s="586" t="str">
        <f t="shared" si="253"/>
        <v/>
      </c>
      <c r="W602" s="683" t="s">
        <v>2328</v>
      </c>
      <c r="X602" s="619">
        <f t="shared" si="266"/>
        <v>35</v>
      </c>
      <c r="Y602" s="618" t="s">
        <v>2051</v>
      </c>
      <c r="Z602" s="624">
        <v>0</v>
      </c>
      <c r="AA602" s="361">
        <f t="shared" si="254"/>
        <v>0</v>
      </c>
      <c r="AB602" s="597"/>
      <c r="AC602" s="485">
        <f t="shared" si="255"/>
        <v>0</v>
      </c>
      <c r="AD602" s="597"/>
      <c r="AE602" s="485">
        <f t="shared" si="256"/>
        <v>0</v>
      </c>
      <c r="AF602" s="508">
        <f t="shared" si="257"/>
        <v>0</v>
      </c>
      <c r="AG602" s="508">
        <f t="shared" si="258"/>
        <v>0</v>
      </c>
      <c r="AH602" s="508">
        <f t="shared" si="259"/>
        <v>0</v>
      </c>
      <c r="AI602" s="508">
        <f t="shared" si="260"/>
        <v>0</v>
      </c>
      <c r="AJ602" s="508">
        <f t="shared" si="261"/>
        <v>0</v>
      </c>
      <c r="AK602" s="508">
        <f t="shared" si="262"/>
        <v>0</v>
      </c>
      <c r="AM602" s="486">
        <f t="shared" si="263"/>
        <v>3.08</v>
      </c>
      <c r="AN602" s="117">
        <f t="shared" si="264"/>
        <v>-3</v>
      </c>
      <c r="AO602" s="487">
        <f t="shared" si="265"/>
        <v>-3750</v>
      </c>
      <c r="AP602" s="610"/>
    </row>
    <row r="603" spans="1:42" ht="15" hidden="1" customHeight="1" outlineLevel="1">
      <c r="A603" s="666">
        <v>470</v>
      </c>
      <c r="B603" s="477"/>
      <c r="C603" s="477" t="s">
        <v>1720</v>
      </c>
      <c r="D603" s="477" t="s">
        <v>1725</v>
      </c>
      <c r="E603" s="475" t="s">
        <v>1453</v>
      </c>
      <c r="F603" s="611" t="s">
        <v>2009</v>
      </c>
      <c r="G603" s="579" t="s">
        <v>1065</v>
      </c>
      <c r="H603" s="482">
        <v>30</v>
      </c>
      <c r="I603" s="580">
        <v>41943</v>
      </c>
      <c r="J603" s="580">
        <v>41943</v>
      </c>
      <c r="K603" s="581">
        <v>897.44</v>
      </c>
      <c r="L603" s="581"/>
      <c r="M603" s="582"/>
      <c r="N603" s="582"/>
      <c r="O603" s="582"/>
      <c r="P603" s="582">
        <f t="shared" si="249"/>
        <v>897.44</v>
      </c>
      <c r="Q603" s="582">
        <f t="shared" si="250"/>
        <v>0</v>
      </c>
      <c r="R603" s="583">
        <f t="shared" si="251"/>
        <v>0</v>
      </c>
      <c r="S603" s="584"/>
      <c r="T603" s="584"/>
      <c r="U603" s="585">
        <f t="shared" si="252"/>
        <v>0</v>
      </c>
      <c r="V603" s="586" t="str">
        <f t="shared" si="253"/>
        <v/>
      </c>
      <c r="W603" s="683" t="s">
        <v>2328</v>
      </c>
      <c r="X603" s="619">
        <f t="shared" si="266"/>
        <v>35</v>
      </c>
      <c r="Y603" s="618" t="s">
        <v>2051</v>
      </c>
      <c r="Z603" s="624">
        <v>0</v>
      </c>
      <c r="AA603" s="361">
        <f t="shared" si="254"/>
        <v>0</v>
      </c>
      <c r="AB603" s="597"/>
      <c r="AC603" s="485">
        <f t="shared" si="255"/>
        <v>0</v>
      </c>
      <c r="AD603" s="597"/>
      <c r="AE603" s="485">
        <f t="shared" si="256"/>
        <v>0</v>
      </c>
      <c r="AF603" s="508">
        <f t="shared" si="257"/>
        <v>0</v>
      </c>
      <c r="AG603" s="508">
        <f t="shared" si="258"/>
        <v>0</v>
      </c>
      <c r="AH603" s="508">
        <f t="shared" si="259"/>
        <v>0</v>
      </c>
      <c r="AI603" s="508">
        <f t="shared" si="260"/>
        <v>0</v>
      </c>
      <c r="AJ603" s="508">
        <f t="shared" si="261"/>
        <v>0</v>
      </c>
      <c r="AK603" s="508">
        <f t="shared" si="262"/>
        <v>0</v>
      </c>
      <c r="AM603" s="486">
        <f t="shared" si="263"/>
        <v>3.08</v>
      </c>
      <c r="AN603" s="117">
        <f t="shared" si="264"/>
        <v>-3</v>
      </c>
      <c r="AO603" s="487">
        <f t="shared" si="265"/>
        <v>-3750</v>
      </c>
      <c r="AP603" s="610"/>
    </row>
    <row r="604" spans="1:42" ht="15" hidden="1" customHeight="1" outlineLevel="1">
      <c r="A604" s="666">
        <v>471</v>
      </c>
      <c r="B604" s="477"/>
      <c r="C604" s="611" t="s">
        <v>1862</v>
      </c>
      <c r="D604" s="477" t="s">
        <v>1863</v>
      </c>
      <c r="E604" s="475" t="s">
        <v>1453</v>
      </c>
      <c r="F604" s="477" t="s">
        <v>1673</v>
      </c>
      <c r="G604" s="579" t="s">
        <v>1914</v>
      </c>
      <c r="H604" s="482">
        <v>4</v>
      </c>
      <c r="I604" s="580"/>
      <c r="J604" s="580"/>
      <c r="K604" s="581">
        <v>1422.22</v>
      </c>
      <c r="L604" s="581"/>
      <c r="M604" s="582"/>
      <c r="N604" s="582"/>
      <c r="O604" s="582"/>
      <c r="P604" s="582">
        <f t="shared" si="249"/>
        <v>1422.22</v>
      </c>
      <c r="Q604" s="582">
        <f t="shared" si="250"/>
        <v>0</v>
      </c>
      <c r="R604" s="583">
        <f t="shared" si="251"/>
        <v>0</v>
      </c>
      <c r="S604" s="584"/>
      <c r="T604" s="584"/>
      <c r="U604" s="585">
        <f t="shared" si="252"/>
        <v>0</v>
      </c>
      <c r="V604" s="586" t="str">
        <f t="shared" si="253"/>
        <v/>
      </c>
      <c r="W604" s="683" t="s">
        <v>2328</v>
      </c>
      <c r="X604" s="619">
        <f t="shared" si="266"/>
        <v>416</v>
      </c>
      <c r="Y604" s="618" t="s">
        <v>2051</v>
      </c>
      <c r="Z604" s="624">
        <v>0</v>
      </c>
      <c r="AA604" s="361">
        <f t="shared" si="254"/>
        <v>0</v>
      </c>
      <c r="AB604" s="597"/>
      <c r="AC604" s="485">
        <f t="shared" si="255"/>
        <v>0</v>
      </c>
      <c r="AD604" s="597"/>
      <c r="AE604" s="485">
        <f t="shared" si="256"/>
        <v>0</v>
      </c>
      <c r="AF604" s="508">
        <f t="shared" si="257"/>
        <v>0</v>
      </c>
      <c r="AG604" s="508">
        <f t="shared" si="258"/>
        <v>0</v>
      </c>
      <c r="AH604" s="508">
        <f t="shared" si="259"/>
        <v>0</v>
      </c>
      <c r="AI604" s="508">
        <f t="shared" si="260"/>
        <v>0</v>
      </c>
      <c r="AJ604" s="508">
        <f t="shared" si="261"/>
        <v>0</v>
      </c>
      <c r="AK604" s="508">
        <f t="shared" si="262"/>
        <v>0</v>
      </c>
      <c r="AM604" s="486">
        <f t="shared" si="263"/>
        <v>118</v>
      </c>
      <c r="AN604" s="117">
        <f t="shared" si="264"/>
        <v>-118</v>
      </c>
      <c r="AO604" s="487" t="e">
        <f t="shared" si="265"/>
        <v>#DIV/0!</v>
      </c>
      <c r="AP604" s="610"/>
    </row>
    <row r="605" spans="1:42" ht="15" hidden="1" customHeight="1" outlineLevel="1">
      <c r="A605" s="666">
        <v>473</v>
      </c>
      <c r="B605" s="477"/>
      <c r="C605" s="611" t="s">
        <v>1902</v>
      </c>
      <c r="D605" s="477" t="s">
        <v>1868</v>
      </c>
      <c r="E605" s="475" t="s">
        <v>1453</v>
      </c>
      <c r="F605" s="477" t="s">
        <v>1476</v>
      </c>
      <c r="G605" s="579" t="s">
        <v>1956</v>
      </c>
      <c r="H605" s="482">
        <v>24</v>
      </c>
      <c r="I605" s="580"/>
      <c r="J605" s="580"/>
      <c r="K605" s="581">
        <v>596.54</v>
      </c>
      <c r="L605" s="581"/>
      <c r="M605" s="582"/>
      <c r="N605" s="582"/>
      <c r="O605" s="582"/>
      <c r="P605" s="582">
        <f t="shared" si="249"/>
        <v>596.54</v>
      </c>
      <c r="Q605" s="582">
        <f t="shared" si="250"/>
        <v>0</v>
      </c>
      <c r="R605" s="583">
        <f t="shared" si="251"/>
        <v>0</v>
      </c>
      <c r="S605" s="584"/>
      <c r="T605" s="584"/>
      <c r="U605" s="585">
        <f t="shared" si="252"/>
        <v>0</v>
      </c>
      <c r="V605" s="586" t="str">
        <f t="shared" si="253"/>
        <v/>
      </c>
      <c r="W605" s="683" t="s">
        <v>2328</v>
      </c>
      <c r="X605" s="619">
        <f t="shared" si="266"/>
        <v>29.08</v>
      </c>
      <c r="Y605" s="618" t="s">
        <v>2051</v>
      </c>
      <c r="Z605" s="624">
        <v>0</v>
      </c>
      <c r="AA605" s="361">
        <f t="shared" si="254"/>
        <v>0</v>
      </c>
      <c r="AB605" s="597"/>
      <c r="AC605" s="485">
        <f t="shared" si="255"/>
        <v>0</v>
      </c>
      <c r="AD605" s="597"/>
      <c r="AE605" s="485">
        <f t="shared" si="256"/>
        <v>0</v>
      </c>
      <c r="AF605" s="508">
        <f t="shared" si="257"/>
        <v>0</v>
      </c>
      <c r="AG605" s="508">
        <f t="shared" si="258"/>
        <v>0</v>
      </c>
      <c r="AH605" s="508">
        <f t="shared" si="259"/>
        <v>0</v>
      </c>
      <c r="AI605" s="508">
        <f t="shared" si="260"/>
        <v>0</v>
      </c>
      <c r="AJ605" s="508">
        <f t="shared" si="261"/>
        <v>0</v>
      </c>
      <c r="AK605" s="508">
        <f t="shared" si="262"/>
        <v>0</v>
      </c>
      <c r="AM605" s="486">
        <f t="shared" si="263"/>
        <v>118</v>
      </c>
      <c r="AN605" s="117">
        <f t="shared" si="264"/>
        <v>-118</v>
      </c>
      <c r="AO605" s="487" t="e">
        <f t="shared" si="265"/>
        <v>#DIV/0!</v>
      </c>
      <c r="AP605" s="610"/>
    </row>
    <row r="606" spans="1:42" ht="15" hidden="1" customHeight="1" outlineLevel="1">
      <c r="A606" s="666">
        <v>475</v>
      </c>
      <c r="B606" s="477"/>
      <c r="C606" s="611" t="s">
        <v>1852</v>
      </c>
      <c r="D606" s="477" t="s">
        <v>1853</v>
      </c>
      <c r="E606" s="475" t="s">
        <v>1453</v>
      </c>
      <c r="F606" s="477" t="s">
        <v>1476</v>
      </c>
      <c r="G606" s="579" t="s">
        <v>1914</v>
      </c>
      <c r="H606" s="482">
        <v>250</v>
      </c>
      <c r="I606" s="580"/>
      <c r="J606" s="580"/>
      <c r="K606" s="581">
        <v>213.68</v>
      </c>
      <c r="L606" s="581"/>
      <c r="M606" s="582"/>
      <c r="N606" s="582"/>
      <c r="O606" s="582"/>
      <c r="P606" s="582">
        <f t="shared" si="249"/>
        <v>213.68</v>
      </c>
      <c r="Q606" s="582">
        <f t="shared" si="250"/>
        <v>0</v>
      </c>
      <c r="R606" s="583">
        <f t="shared" si="251"/>
        <v>0</v>
      </c>
      <c r="S606" s="584"/>
      <c r="T606" s="584"/>
      <c r="U606" s="585">
        <f t="shared" si="252"/>
        <v>0</v>
      </c>
      <c r="V606" s="586" t="str">
        <f t="shared" si="253"/>
        <v/>
      </c>
      <c r="W606" s="683" t="s">
        <v>2328</v>
      </c>
      <c r="X606" s="619">
        <f t="shared" si="266"/>
        <v>1</v>
      </c>
      <c r="Y606" s="618" t="s">
        <v>2051</v>
      </c>
      <c r="Z606" s="624">
        <v>0</v>
      </c>
      <c r="AA606" s="361">
        <f t="shared" si="254"/>
        <v>0</v>
      </c>
      <c r="AB606" s="597"/>
      <c r="AC606" s="485">
        <f t="shared" si="255"/>
        <v>0</v>
      </c>
      <c r="AD606" s="597"/>
      <c r="AE606" s="485">
        <f t="shared" si="256"/>
        <v>0</v>
      </c>
      <c r="AF606" s="508">
        <f t="shared" si="257"/>
        <v>0</v>
      </c>
      <c r="AG606" s="508">
        <f t="shared" si="258"/>
        <v>0</v>
      </c>
      <c r="AH606" s="508">
        <f t="shared" si="259"/>
        <v>0</v>
      </c>
      <c r="AI606" s="508">
        <f t="shared" si="260"/>
        <v>0</v>
      </c>
      <c r="AJ606" s="508">
        <f t="shared" si="261"/>
        <v>0</v>
      </c>
      <c r="AK606" s="508">
        <f t="shared" si="262"/>
        <v>0</v>
      </c>
      <c r="AM606" s="486">
        <f t="shared" si="263"/>
        <v>118</v>
      </c>
      <c r="AN606" s="117">
        <f t="shared" si="264"/>
        <v>-118</v>
      </c>
      <c r="AO606" s="487" t="e">
        <f t="shared" si="265"/>
        <v>#DIV/0!</v>
      </c>
      <c r="AP606" s="610"/>
    </row>
    <row r="607" spans="1:42" ht="15" hidden="1" customHeight="1" outlineLevel="1">
      <c r="A607" s="666">
        <v>476</v>
      </c>
      <c r="B607" s="477"/>
      <c r="C607" s="611" t="s">
        <v>1867</v>
      </c>
      <c r="D607" s="477" t="s">
        <v>1868</v>
      </c>
      <c r="E607" s="475" t="s">
        <v>1453</v>
      </c>
      <c r="F607" s="477" t="s">
        <v>1476</v>
      </c>
      <c r="G607" s="579" t="s">
        <v>1956</v>
      </c>
      <c r="H607" s="482">
        <v>25</v>
      </c>
      <c r="I607" s="580"/>
      <c r="J607" s="580"/>
      <c r="K607" s="581">
        <v>138.88999999999999</v>
      </c>
      <c r="L607" s="581"/>
      <c r="M607" s="582"/>
      <c r="N607" s="582"/>
      <c r="O607" s="582"/>
      <c r="P607" s="582">
        <f t="shared" si="249"/>
        <v>138.88999999999999</v>
      </c>
      <c r="Q607" s="582">
        <f t="shared" si="250"/>
        <v>0</v>
      </c>
      <c r="R607" s="583">
        <f t="shared" si="251"/>
        <v>0</v>
      </c>
      <c r="S607" s="584"/>
      <c r="T607" s="584"/>
      <c r="U607" s="585">
        <f t="shared" si="252"/>
        <v>0</v>
      </c>
      <c r="V607" s="586" t="str">
        <f t="shared" si="253"/>
        <v/>
      </c>
      <c r="W607" s="683" t="s">
        <v>2328</v>
      </c>
      <c r="X607" s="619">
        <f t="shared" si="266"/>
        <v>6.5</v>
      </c>
      <c r="Y607" s="618" t="s">
        <v>2051</v>
      </c>
      <c r="Z607" s="624">
        <v>0</v>
      </c>
      <c r="AA607" s="361">
        <f t="shared" si="254"/>
        <v>0</v>
      </c>
      <c r="AB607" s="597"/>
      <c r="AC607" s="485">
        <f t="shared" si="255"/>
        <v>0</v>
      </c>
      <c r="AD607" s="597"/>
      <c r="AE607" s="485">
        <f t="shared" si="256"/>
        <v>0</v>
      </c>
      <c r="AF607" s="508">
        <f t="shared" si="257"/>
        <v>0</v>
      </c>
      <c r="AG607" s="508">
        <f t="shared" si="258"/>
        <v>0</v>
      </c>
      <c r="AH607" s="508">
        <f t="shared" si="259"/>
        <v>0</v>
      </c>
      <c r="AI607" s="508">
        <f t="shared" si="260"/>
        <v>0</v>
      </c>
      <c r="AJ607" s="508">
        <f t="shared" si="261"/>
        <v>0</v>
      </c>
      <c r="AK607" s="508">
        <f t="shared" si="262"/>
        <v>0</v>
      </c>
      <c r="AM607" s="486">
        <f t="shared" si="263"/>
        <v>118</v>
      </c>
      <c r="AN607" s="117">
        <f t="shared" si="264"/>
        <v>-118</v>
      </c>
      <c r="AO607" s="487" t="e">
        <f t="shared" si="265"/>
        <v>#DIV/0!</v>
      </c>
      <c r="AP607" s="610"/>
    </row>
    <row r="608" spans="1:42" ht="15" hidden="1" customHeight="1" outlineLevel="1">
      <c r="A608" s="666">
        <v>477</v>
      </c>
      <c r="B608" s="477"/>
      <c r="C608" s="477" t="s">
        <v>1917</v>
      </c>
      <c r="D608" s="477" t="s">
        <v>1918</v>
      </c>
      <c r="E608" s="475" t="s">
        <v>1453</v>
      </c>
      <c r="F608" s="477"/>
      <c r="G608" s="482" t="s">
        <v>1949</v>
      </c>
      <c r="H608" s="482">
        <v>231800</v>
      </c>
      <c r="I608" s="580"/>
      <c r="J608" s="580"/>
      <c r="K608" s="581">
        <v>673.76</v>
      </c>
      <c r="L608" s="581"/>
      <c r="M608" s="582"/>
      <c r="N608" s="582"/>
      <c r="O608" s="582"/>
      <c r="P608" s="582">
        <f t="shared" si="249"/>
        <v>673.76</v>
      </c>
      <c r="Q608" s="582">
        <f t="shared" si="250"/>
        <v>0</v>
      </c>
      <c r="R608" s="583">
        <f t="shared" si="251"/>
        <v>0</v>
      </c>
      <c r="S608" s="584"/>
      <c r="T608" s="584"/>
      <c r="U608" s="585">
        <f t="shared" si="252"/>
        <v>0</v>
      </c>
      <c r="V608" s="586" t="str">
        <f t="shared" si="253"/>
        <v/>
      </c>
      <c r="W608" s="683" t="s">
        <v>2328</v>
      </c>
      <c r="X608" s="619">
        <f t="shared" si="266"/>
        <v>0</v>
      </c>
      <c r="Y608" s="618" t="s">
        <v>2051</v>
      </c>
      <c r="Z608" s="624">
        <v>0</v>
      </c>
      <c r="AA608" s="361">
        <f t="shared" si="254"/>
        <v>0</v>
      </c>
      <c r="AB608" s="597"/>
      <c r="AC608" s="485">
        <f t="shared" si="255"/>
        <v>0</v>
      </c>
      <c r="AD608" s="597"/>
      <c r="AE608" s="485">
        <f t="shared" si="256"/>
        <v>0</v>
      </c>
      <c r="AF608" s="508">
        <f t="shared" si="257"/>
        <v>0</v>
      </c>
      <c r="AG608" s="508">
        <f t="shared" si="258"/>
        <v>0</v>
      </c>
      <c r="AH608" s="508">
        <f t="shared" si="259"/>
        <v>0</v>
      </c>
      <c r="AI608" s="508">
        <f t="shared" si="260"/>
        <v>0</v>
      </c>
      <c r="AJ608" s="508">
        <f t="shared" si="261"/>
        <v>0</v>
      </c>
      <c r="AK608" s="508">
        <f t="shared" si="262"/>
        <v>0</v>
      </c>
      <c r="AM608" s="486">
        <f t="shared" si="263"/>
        <v>118</v>
      </c>
      <c r="AN608" s="117">
        <f t="shared" si="264"/>
        <v>-118</v>
      </c>
      <c r="AO608" s="487" t="e">
        <f t="shared" si="265"/>
        <v>#DIV/0!</v>
      </c>
      <c r="AP608" s="610"/>
    </row>
    <row r="609" spans="1:42" ht="15" hidden="1" customHeight="1" outlineLevel="1">
      <c r="A609" s="666">
        <v>478</v>
      </c>
      <c r="B609" s="477"/>
      <c r="C609" s="477" t="s">
        <v>1895</v>
      </c>
      <c r="D609" s="477" t="s">
        <v>1896</v>
      </c>
      <c r="E609" s="475" t="s">
        <v>1453</v>
      </c>
      <c r="F609" s="477"/>
      <c r="G609" s="482" t="s">
        <v>1949</v>
      </c>
      <c r="H609" s="482">
        <v>113200</v>
      </c>
      <c r="I609" s="580"/>
      <c r="J609" s="580"/>
      <c r="K609" s="581">
        <v>328.99</v>
      </c>
      <c r="L609" s="581"/>
      <c r="M609" s="582"/>
      <c r="N609" s="582"/>
      <c r="O609" s="582"/>
      <c r="P609" s="582">
        <f t="shared" si="249"/>
        <v>328.99</v>
      </c>
      <c r="Q609" s="582">
        <f t="shared" si="250"/>
        <v>0</v>
      </c>
      <c r="R609" s="583">
        <f t="shared" si="251"/>
        <v>0</v>
      </c>
      <c r="S609" s="584"/>
      <c r="T609" s="584"/>
      <c r="U609" s="585">
        <f t="shared" si="252"/>
        <v>0</v>
      </c>
      <c r="V609" s="586" t="str">
        <f t="shared" si="253"/>
        <v/>
      </c>
      <c r="W609" s="683" t="s">
        <v>2328</v>
      </c>
      <c r="X609" s="619">
        <f t="shared" si="266"/>
        <v>0</v>
      </c>
      <c r="Y609" s="618" t="s">
        <v>2051</v>
      </c>
      <c r="Z609" s="624">
        <v>0</v>
      </c>
      <c r="AA609" s="361">
        <f t="shared" si="254"/>
        <v>0</v>
      </c>
      <c r="AB609" s="597"/>
      <c r="AC609" s="485">
        <f t="shared" si="255"/>
        <v>0</v>
      </c>
      <c r="AD609" s="597"/>
      <c r="AE609" s="485">
        <f t="shared" si="256"/>
        <v>0</v>
      </c>
      <c r="AF609" s="508">
        <f t="shared" si="257"/>
        <v>0</v>
      </c>
      <c r="AG609" s="508">
        <f t="shared" si="258"/>
        <v>0</v>
      </c>
      <c r="AH609" s="508">
        <f t="shared" si="259"/>
        <v>0</v>
      </c>
      <c r="AI609" s="508">
        <f t="shared" si="260"/>
        <v>0</v>
      </c>
      <c r="AJ609" s="508">
        <f t="shared" si="261"/>
        <v>0</v>
      </c>
      <c r="AK609" s="508">
        <f t="shared" si="262"/>
        <v>0</v>
      </c>
      <c r="AM609" s="486">
        <f t="shared" si="263"/>
        <v>118</v>
      </c>
      <c r="AN609" s="117">
        <f t="shared" si="264"/>
        <v>-118</v>
      </c>
      <c r="AO609" s="487" t="e">
        <f t="shared" si="265"/>
        <v>#DIV/0!</v>
      </c>
      <c r="AP609" s="610"/>
    </row>
    <row r="610" spans="1:42" ht="15" hidden="1" customHeight="1" outlineLevel="1">
      <c r="A610" s="666">
        <v>479</v>
      </c>
      <c r="B610" s="477"/>
      <c r="C610" s="477" t="s">
        <v>1973</v>
      </c>
      <c r="D610" s="611" t="s">
        <v>1974</v>
      </c>
      <c r="E610" s="475" t="s">
        <v>1453</v>
      </c>
      <c r="F610" s="477"/>
      <c r="G610" s="482" t="s">
        <v>1949</v>
      </c>
      <c r="H610" s="482">
        <v>16660</v>
      </c>
      <c r="I610" s="580"/>
      <c r="J610" s="580"/>
      <c r="K610" s="581">
        <v>22712.63</v>
      </c>
      <c r="L610" s="581"/>
      <c r="M610" s="582"/>
      <c r="N610" s="582"/>
      <c r="O610" s="582"/>
      <c r="P610" s="582">
        <f t="shared" si="249"/>
        <v>22712.63</v>
      </c>
      <c r="Q610" s="582">
        <f t="shared" si="250"/>
        <v>0</v>
      </c>
      <c r="R610" s="583">
        <f t="shared" si="251"/>
        <v>0</v>
      </c>
      <c r="S610" s="584"/>
      <c r="T610" s="584"/>
      <c r="U610" s="585">
        <f t="shared" si="252"/>
        <v>0</v>
      </c>
      <c r="V610" s="586" t="str">
        <f t="shared" si="253"/>
        <v/>
      </c>
      <c r="W610" s="683" t="s">
        <v>2328</v>
      </c>
      <c r="X610" s="619">
        <f t="shared" si="266"/>
        <v>1.6</v>
      </c>
      <c r="Y610" s="618" t="s">
        <v>2051</v>
      </c>
      <c r="Z610" s="624">
        <v>0</v>
      </c>
      <c r="AA610" s="361">
        <f t="shared" si="254"/>
        <v>0</v>
      </c>
      <c r="AB610" s="597"/>
      <c r="AC610" s="485">
        <f t="shared" si="255"/>
        <v>0</v>
      </c>
      <c r="AD610" s="597"/>
      <c r="AE610" s="485">
        <f t="shared" si="256"/>
        <v>0</v>
      </c>
      <c r="AF610" s="508">
        <f t="shared" si="257"/>
        <v>0</v>
      </c>
      <c r="AG610" s="508">
        <f t="shared" si="258"/>
        <v>0</v>
      </c>
      <c r="AH610" s="508">
        <f t="shared" si="259"/>
        <v>0</v>
      </c>
      <c r="AI610" s="508">
        <f t="shared" si="260"/>
        <v>0</v>
      </c>
      <c r="AJ610" s="508">
        <f t="shared" si="261"/>
        <v>0</v>
      </c>
      <c r="AK610" s="508">
        <f t="shared" si="262"/>
        <v>0</v>
      </c>
      <c r="AM610" s="486">
        <f t="shared" si="263"/>
        <v>118</v>
      </c>
      <c r="AN610" s="117">
        <f t="shared" si="264"/>
        <v>-118</v>
      </c>
      <c r="AO610" s="487" t="e">
        <f t="shared" si="265"/>
        <v>#DIV/0!</v>
      </c>
      <c r="AP610" s="610"/>
    </row>
    <row r="611" spans="1:42" ht="15" hidden="1" customHeight="1" outlineLevel="1">
      <c r="A611" s="666">
        <v>480</v>
      </c>
      <c r="B611" s="477"/>
      <c r="C611" s="477" t="s">
        <v>1977</v>
      </c>
      <c r="D611" s="611" t="s">
        <v>1976</v>
      </c>
      <c r="E611" s="475" t="s">
        <v>1453</v>
      </c>
      <c r="F611" s="477"/>
      <c r="G611" s="482" t="s">
        <v>1949</v>
      </c>
      <c r="H611" s="482">
        <v>2203</v>
      </c>
      <c r="I611" s="580"/>
      <c r="J611" s="580"/>
      <c r="K611" s="581">
        <v>3050.31</v>
      </c>
      <c r="L611" s="581"/>
      <c r="M611" s="582"/>
      <c r="N611" s="582"/>
      <c r="O611" s="582"/>
      <c r="P611" s="582">
        <f t="shared" si="249"/>
        <v>3050.31</v>
      </c>
      <c r="Q611" s="582">
        <f t="shared" si="250"/>
        <v>0</v>
      </c>
      <c r="R611" s="583">
        <f t="shared" si="251"/>
        <v>0</v>
      </c>
      <c r="S611" s="584"/>
      <c r="T611" s="584"/>
      <c r="U611" s="585">
        <f t="shared" si="252"/>
        <v>0</v>
      </c>
      <c r="V611" s="586" t="str">
        <f t="shared" si="253"/>
        <v/>
      </c>
      <c r="W611" s="683" t="s">
        <v>2328</v>
      </c>
      <c r="X611" s="619">
        <f t="shared" si="266"/>
        <v>1.62</v>
      </c>
      <c r="Y611" s="618" t="s">
        <v>2051</v>
      </c>
      <c r="Z611" s="624">
        <v>0</v>
      </c>
      <c r="AA611" s="361">
        <f t="shared" si="254"/>
        <v>0</v>
      </c>
      <c r="AB611" s="597"/>
      <c r="AC611" s="485">
        <f t="shared" si="255"/>
        <v>0</v>
      </c>
      <c r="AD611" s="597"/>
      <c r="AE611" s="485">
        <f t="shared" si="256"/>
        <v>0</v>
      </c>
      <c r="AF611" s="508">
        <f t="shared" si="257"/>
        <v>0</v>
      </c>
      <c r="AG611" s="508">
        <f t="shared" si="258"/>
        <v>0</v>
      </c>
      <c r="AH611" s="508">
        <f t="shared" si="259"/>
        <v>0</v>
      </c>
      <c r="AI611" s="508">
        <f t="shared" si="260"/>
        <v>0</v>
      </c>
      <c r="AJ611" s="508">
        <f t="shared" si="261"/>
        <v>0</v>
      </c>
      <c r="AK611" s="508">
        <f t="shared" si="262"/>
        <v>0</v>
      </c>
      <c r="AM611" s="486">
        <f t="shared" si="263"/>
        <v>118</v>
      </c>
      <c r="AN611" s="117">
        <f t="shared" si="264"/>
        <v>-118</v>
      </c>
      <c r="AO611" s="487" t="e">
        <f t="shared" si="265"/>
        <v>#DIV/0!</v>
      </c>
      <c r="AP611" s="610"/>
    </row>
    <row r="612" spans="1:42" ht="15" hidden="1" customHeight="1" outlineLevel="1">
      <c r="A612" s="666">
        <v>481</v>
      </c>
      <c r="B612" s="477"/>
      <c r="C612" s="477" t="s">
        <v>1975</v>
      </c>
      <c r="D612" s="611" t="s">
        <v>1976</v>
      </c>
      <c r="E612" s="475" t="s">
        <v>1453</v>
      </c>
      <c r="F612" s="477"/>
      <c r="G612" s="482" t="s">
        <v>1949</v>
      </c>
      <c r="H612" s="482">
        <v>6219</v>
      </c>
      <c r="I612" s="580"/>
      <c r="J612" s="580"/>
      <c r="K612" s="581">
        <v>8428.98</v>
      </c>
      <c r="L612" s="581"/>
      <c r="M612" s="582"/>
      <c r="N612" s="582"/>
      <c r="O612" s="582"/>
      <c r="P612" s="582">
        <f t="shared" si="249"/>
        <v>8428.98</v>
      </c>
      <c r="Q612" s="582">
        <f t="shared" si="250"/>
        <v>0</v>
      </c>
      <c r="R612" s="583">
        <f t="shared" si="251"/>
        <v>0</v>
      </c>
      <c r="S612" s="584"/>
      <c r="T612" s="584"/>
      <c r="U612" s="585">
        <f t="shared" si="252"/>
        <v>0</v>
      </c>
      <c r="V612" s="586" t="str">
        <f t="shared" si="253"/>
        <v/>
      </c>
      <c r="W612" s="683" t="s">
        <v>2328</v>
      </c>
      <c r="X612" s="619">
        <f t="shared" si="266"/>
        <v>1.59</v>
      </c>
      <c r="Y612" s="618" t="s">
        <v>2051</v>
      </c>
      <c r="Z612" s="624">
        <v>0</v>
      </c>
      <c r="AA612" s="361">
        <f t="shared" si="254"/>
        <v>0</v>
      </c>
      <c r="AB612" s="597"/>
      <c r="AC612" s="485">
        <f t="shared" si="255"/>
        <v>0</v>
      </c>
      <c r="AD612" s="597"/>
      <c r="AE612" s="485">
        <f t="shared" si="256"/>
        <v>0</v>
      </c>
      <c r="AF612" s="508">
        <f t="shared" si="257"/>
        <v>0</v>
      </c>
      <c r="AG612" s="508">
        <f t="shared" si="258"/>
        <v>0</v>
      </c>
      <c r="AH612" s="508">
        <f t="shared" si="259"/>
        <v>0</v>
      </c>
      <c r="AI612" s="508">
        <f t="shared" si="260"/>
        <v>0</v>
      </c>
      <c r="AJ612" s="508">
        <f t="shared" si="261"/>
        <v>0</v>
      </c>
      <c r="AK612" s="508">
        <f t="shared" si="262"/>
        <v>0</v>
      </c>
      <c r="AM612" s="486">
        <f t="shared" si="263"/>
        <v>118</v>
      </c>
      <c r="AN612" s="117">
        <f t="shared" si="264"/>
        <v>-118</v>
      </c>
      <c r="AO612" s="487" t="e">
        <f t="shared" si="265"/>
        <v>#DIV/0!</v>
      </c>
      <c r="AP612" s="610"/>
    </row>
    <row r="613" spans="1:42" ht="15" hidden="1" customHeight="1" outlineLevel="1">
      <c r="A613" s="666">
        <v>482</v>
      </c>
      <c r="B613" s="477"/>
      <c r="C613" s="477" t="s">
        <v>1978</v>
      </c>
      <c r="D613" s="477" t="s">
        <v>1979</v>
      </c>
      <c r="E613" s="475" t="s">
        <v>1453</v>
      </c>
      <c r="F613" s="477"/>
      <c r="G613" s="482" t="s">
        <v>1949</v>
      </c>
      <c r="H613" s="482">
        <v>805</v>
      </c>
      <c r="I613" s="580"/>
      <c r="J613" s="580"/>
      <c r="K613" s="581">
        <v>750.05</v>
      </c>
      <c r="L613" s="581"/>
      <c r="M613" s="582"/>
      <c r="N613" s="582"/>
      <c r="O613" s="582"/>
      <c r="P613" s="582">
        <f t="shared" si="249"/>
        <v>750.05</v>
      </c>
      <c r="Q613" s="582">
        <f t="shared" si="250"/>
        <v>0</v>
      </c>
      <c r="R613" s="583">
        <f t="shared" si="251"/>
        <v>0</v>
      </c>
      <c r="S613" s="584"/>
      <c r="T613" s="584"/>
      <c r="U613" s="585">
        <f t="shared" si="252"/>
        <v>0</v>
      </c>
      <c r="V613" s="586" t="str">
        <f t="shared" si="253"/>
        <v/>
      </c>
      <c r="W613" s="683" t="s">
        <v>2328</v>
      </c>
      <c r="X613" s="619">
        <f t="shared" si="266"/>
        <v>1.0900000000000001</v>
      </c>
      <c r="Y613" s="618" t="s">
        <v>2051</v>
      </c>
      <c r="Z613" s="624">
        <v>0</v>
      </c>
      <c r="AA613" s="361">
        <f t="shared" si="254"/>
        <v>0</v>
      </c>
      <c r="AB613" s="597"/>
      <c r="AC613" s="485">
        <f t="shared" si="255"/>
        <v>0</v>
      </c>
      <c r="AD613" s="597"/>
      <c r="AE613" s="485">
        <f t="shared" si="256"/>
        <v>0</v>
      </c>
      <c r="AF613" s="508">
        <f t="shared" si="257"/>
        <v>0</v>
      </c>
      <c r="AG613" s="508">
        <f t="shared" si="258"/>
        <v>0</v>
      </c>
      <c r="AH613" s="508">
        <f t="shared" si="259"/>
        <v>0</v>
      </c>
      <c r="AI613" s="508">
        <f t="shared" si="260"/>
        <v>0</v>
      </c>
      <c r="AJ613" s="508">
        <f t="shared" si="261"/>
        <v>0</v>
      </c>
      <c r="AK613" s="508">
        <f t="shared" si="262"/>
        <v>0</v>
      </c>
      <c r="AM613" s="486">
        <f t="shared" si="263"/>
        <v>118</v>
      </c>
      <c r="AN613" s="117">
        <f t="shared" si="264"/>
        <v>-118</v>
      </c>
      <c r="AO613" s="487" t="e">
        <f t="shared" si="265"/>
        <v>#DIV/0!</v>
      </c>
      <c r="AP613" s="610"/>
    </row>
    <row r="614" spans="1:42" ht="15" hidden="1" customHeight="1" outlineLevel="1">
      <c r="A614" s="666">
        <v>483</v>
      </c>
      <c r="B614" s="477"/>
      <c r="C614" s="477" t="s">
        <v>1935</v>
      </c>
      <c r="D614" s="477" t="s">
        <v>1936</v>
      </c>
      <c r="E614" s="475" t="s">
        <v>1453</v>
      </c>
      <c r="F614" s="477"/>
      <c r="G614" s="482" t="s">
        <v>1949</v>
      </c>
      <c r="H614" s="482">
        <v>12000</v>
      </c>
      <c r="I614" s="580"/>
      <c r="J614" s="580"/>
      <c r="K614" s="581">
        <v>92.9</v>
      </c>
      <c r="L614" s="581"/>
      <c r="M614" s="582"/>
      <c r="N614" s="582"/>
      <c r="O614" s="582"/>
      <c r="P614" s="582">
        <f t="shared" si="249"/>
        <v>92.9</v>
      </c>
      <c r="Q614" s="582">
        <f t="shared" si="250"/>
        <v>0</v>
      </c>
      <c r="R614" s="583">
        <f t="shared" si="251"/>
        <v>0</v>
      </c>
      <c r="S614" s="584"/>
      <c r="T614" s="584"/>
      <c r="U614" s="585">
        <f t="shared" si="252"/>
        <v>0</v>
      </c>
      <c r="V614" s="586" t="str">
        <f t="shared" si="253"/>
        <v/>
      </c>
      <c r="W614" s="683" t="s">
        <v>2328</v>
      </c>
      <c r="X614" s="619">
        <f t="shared" si="266"/>
        <v>0.01</v>
      </c>
      <c r="Y614" s="618" t="s">
        <v>2051</v>
      </c>
      <c r="Z614" s="624">
        <v>0</v>
      </c>
      <c r="AA614" s="361">
        <f t="shared" si="254"/>
        <v>0</v>
      </c>
      <c r="AB614" s="597"/>
      <c r="AC614" s="485">
        <f t="shared" si="255"/>
        <v>0</v>
      </c>
      <c r="AD614" s="597"/>
      <c r="AE614" s="485">
        <f t="shared" si="256"/>
        <v>0</v>
      </c>
      <c r="AF614" s="508">
        <f t="shared" si="257"/>
        <v>0</v>
      </c>
      <c r="AG614" s="508">
        <f t="shared" si="258"/>
        <v>0</v>
      </c>
      <c r="AH614" s="508">
        <f t="shared" si="259"/>
        <v>0</v>
      </c>
      <c r="AI614" s="508">
        <f t="shared" si="260"/>
        <v>0</v>
      </c>
      <c r="AJ614" s="508">
        <f t="shared" si="261"/>
        <v>0</v>
      </c>
      <c r="AK614" s="508">
        <f t="shared" si="262"/>
        <v>0</v>
      </c>
      <c r="AM614" s="486">
        <f t="shared" si="263"/>
        <v>118</v>
      </c>
      <c r="AN614" s="117">
        <f t="shared" si="264"/>
        <v>-118</v>
      </c>
      <c r="AO614" s="487" t="e">
        <f t="shared" si="265"/>
        <v>#DIV/0!</v>
      </c>
      <c r="AP614" s="610"/>
    </row>
    <row r="615" spans="1:42" ht="15" hidden="1" customHeight="1" outlineLevel="1">
      <c r="A615" s="666">
        <v>484</v>
      </c>
      <c r="B615" s="477"/>
      <c r="C615" s="477" t="s">
        <v>1933</v>
      </c>
      <c r="D615" s="477" t="s">
        <v>1934</v>
      </c>
      <c r="E615" s="475" t="s">
        <v>1453</v>
      </c>
      <c r="F615" s="477"/>
      <c r="G615" s="482" t="s">
        <v>1949</v>
      </c>
      <c r="H615" s="482">
        <v>169000</v>
      </c>
      <c r="I615" s="580"/>
      <c r="J615" s="580"/>
      <c r="K615" s="581">
        <v>708.36</v>
      </c>
      <c r="L615" s="581"/>
      <c r="M615" s="582"/>
      <c r="N615" s="582"/>
      <c r="O615" s="582"/>
      <c r="P615" s="582">
        <f t="shared" si="249"/>
        <v>708.36</v>
      </c>
      <c r="Q615" s="582">
        <f t="shared" si="250"/>
        <v>0</v>
      </c>
      <c r="R615" s="583">
        <f t="shared" si="251"/>
        <v>0</v>
      </c>
      <c r="S615" s="584"/>
      <c r="T615" s="584"/>
      <c r="U615" s="585">
        <f t="shared" si="252"/>
        <v>0</v>
      </c>
      <c r="V615" s="586" t="str">
        <f t="shared" si="253"/>
        <v/>
      </c>
      <c r="W615" s="683" t="s">
        <v>2328</v>
      </c>
      <c r="X615" s="619">
        <f t="shared" si="266"/>
        <v>0</v>
      </c>
      <c r="Y615" s="618" t="s">
        <v>2051</v>
      </c>
      <c r="Z615" s="624">
        <v>0</v>
      </c>
      <c r="AA615" s="361">
        <f t="shared" si="254"/>
        <v>0</v>
      </c>
      <c r="AB615" s="597"/>
      <c r="AC615" s="485">
        <f t="shared" si="255"/>
        <v>0</v>
      </c>
      <c r="AD615" s="597"/>
      <c r="AE615" s="485">
        <f t="shared" si="256"/>
        <v>0</v>
      </c>
      <c r="AF615" s="508">
        <f t="shared" si="257"/>
        <v>0</v>
      </c>
      <c r="AG615" s="508">
        <f t="shared" si="258"/>
        <v>0</v>
      </c>
      <c r="AH615" s="508">
        <f t="shared" si="259"/>
        <v>0</v>
      </c>
      <c r="AI615" s="508">
        <f t="shared" si="260"/>
        <v>0</v>
      </c>
      <c r="AJ615" s="508">
        <f t="shared" si="261"/>
        <v>0</v>
      </c>
      <c r="AK615" s="508">
        <f t="shared" si="262"/>
        <v>0</v>
      </c>
      <c r="AM615" s="486">
        <f t="shared" si="263"/>
        <v>118</v>
      </c>
      <c r="AN615" s="117">
        <f t="shared" si="264"/>
        <v>-118</v>
      </c>
      <c r="AO615" s="487" t="e">
        <f t="shared" si="265"/>
        <v>#DIV/0!</v>
      </c>
      <c r="AP615" s="610"/>
    </row>
    <row r="616" spans="1:42" ht="15" hidden="1" customHeight="1" outlineLevel="1">
      <c r="A616" s="666">
        <v>485</v>
      </c>
      <c r="B616" s="477"/>
      <c r="C616" s="477" t="s">
        <v>1937</v>
      </c>
      <c r="D616" s="477" t="s">
        <v>1918</v>
      </c>
      <c r="E616" s="475" t="s">
        <v>1453</v>
      </c>
      <c r="F616" s="477"/>
      <c r="G616" s="482" t="s">
        <v>1949</v>
      </c>
      <c r="H616" s="482">
        <v>300700</v>
      </c>
      <c r="I616" s="580"/>
      <c r="J616" s="580"/>
      <c r="K616" s="581">
        <v>1387.86</v>
      </c>
      <c r="L616" s="581"/>
      <c r="M616" s="582"/>
      <c r="N616" s="582"/>
      <c r="O616" s="582"/>
      <c r="P616" s="582">
        <f t="shared" si="249"/>
        <v>1387.86</v>
      </c>
      <c r="Q616" s="582">
        <f t="shared" si="250"/>
        <v>0</v>
      </c>
      <c r="R616" s="583">
        <f t="shared" si="251"/>
        <v>0</v>
      </c>
      <c r="S616" s="584"/>
      <c r="T616" s="584"/>
      <c r="U616" s="585">
        <f t="shared" si="252"/>
        <v>0</v>
      </c>
      <c r="V616" s="586" t="str">
        <f t="shared" si="253"/>
        <v/>
      </c>
      <c r="W616" s="683" t="s">
        <v>2328</v>
      </c>
      <c r="X616" s="619">
        <f t="shared" si="266"/>
        <v>0.01</v>
      </c>
      <c r="Y616" s="618" t="s">
        <v>2051</v>
      </c>
      <c r="Z616" s="624">
        <v>0</v>
      </c>
      <c r="AA616" s="361">
        <f t="shared" si="254"/>
        <v>0</v>
      </c>
      <c r="AB616" s="597"/>
      <c r="AC616" s="485">
        <f t="shared" si="255"/>
        <v>0</v>
      </c>
      <c r="AD616" s="597"/>
      <c r="AE616" s="485">
        <f t="shared" si="256"/>
        <v>0</v>
      </c>
      <c r="AF616" s="508">
        <f t="shared" si="257"/>
        <v>0</v>
      </c>
      <c r="AG616" s="508">
        <f t="shared" si="258"/>
        <v>0</v>
      </c>
      <c r="AH616" s="508">
        <f t="shared" si="259"/>
        <v>0</v>
      </c>
      <c r="AI616" s="508">
        <f t="shared" si="260"/>
        <v>0</v>
      </c>
      <c r="AJ616" s="508">
        <f t="shared" si="261"/>
        <v>0</v>
      </c>
      <c r="AK616" s="508">
        <f t="shared" si="262"/>
        <v>0</v>
      </c>
      <c r="AM616" s="486">
        <f t="shared" si="263"/>
        <v>118</v>
      </c>
      <c r="AN616" s="117">
        <f t="shared" si="264"/>
        <v>-118</v>
      </c>
      <c r="AO616" s="487" t="e">
        <f t="shared" si="265"/>
        <v>#DIV/0!</v>
      </c>
      <c r="AP616" s="610"/>
    </row>
    <row r="617" spans="1:42" ht="15" hidden="1" customHeight="1" outlineLevel="1">
      <c r="A617" s="666">
        <v>486</v>
      </c>
      <c r="B617" s="477"/>
      <c r="C617" s="477" t="s">
        <v>1930</v>
      </c>
      <c r="D617" s="477" t="s">
        <v>1918</v>
      </c>
      <c r="E617" s="475" t="s">
        <v>1453</v>
      </c>
      <c r="F617" s="477"/>
      <c r="G617" s="482" t="s">
        <v>1949</v>
      </c>
      <c r="H617" s="482">
        <v>444800</v>
      </c>
      <c r="I617" s="580"/>
      <c r="J617" s="580"/>
      <c r="K617" s="581">
        <v>2052.92</v>
      </c>
      <c r="L617" s="581"/>
      <c r="M617" s="582"/>
      <c r="N617" s="582"/>
      <c r="O617" s="582"/>
      <c r="P617" s="582">
        <f t="shared" si="249"/>
        <v>2052.92</v>
      </c>
      <c r="Q617" s="582">
        <f t="shared" si="250"/>
        <v>0</v>
      </c>
      <c r="R617" s="583">
        <f t="shared" si="251"/>
        <v>0</v>
      </c>
      <c r="S617" s="584"/>
      <c r="T617" s="584"/>
      <c r="U617" s="585">
        <f t="shared" si="252"/>
        <v>0</v>
      </c>
      <c r="V617" s="586" t="str">
        <f t="shared" si="253"/>
        <v/>
      </c>
      <c r="W617" s="683" t="s">
        <v>2328</v>
      </c>
      <c r="X617" s="619">
        <f t="shared" si="266"/>
        <v>0.01</v>
      </c>
      <c r="Y617" s="618" t="s">
        <v>2051</v>
      </c>
      <c r="Z617" s="624">
        <v>0</v>
      </c>
      <c r="AA617" s="361">
        <f t="shared" si="254"/>
        <v>0</v>
      </c>
      <c r="AB617" s="597"/>
      <c r="AC617" s="485">
        <f t="shared" si="255"/>
        <v>0</v>
      </c>
      <c r="AD617" s="597"/>
      <c r="AE617" s="485">
        <f t="shared" si="256"/>
        <v>0</v>
      </c>
      <c r="AF617" s="508">
        <f t="shared" si="257"/>
        <v>0</v>
      </c>
      <c r="AG617" s="508">
        <f t="shared" si="258"/>
        <v>0</v>
      </c>
      <c r="AH617" s="508">
        <f t="shared" si="259"/>
        <v>0</v>
      </c>
      <c r="AI617" s="508">
        <f t="shared" si="260"/>
        <v>0</v>
      </c>
      <c r="AJ617" s="508">
        <f t="shared" si="261"/>
        <v>0</v>
      </c>
      <c r="AK617" s="508">
        <f t="shared" si="262"/>
        <v>0</v>
      </c>
      <c r="AM617" s="486">
        <f t="shared" si="263"/>
        <v>118</v>
      </c>
      <c r="AN617" s="117">
        <f t="shared" si="264"/>
        <v>-118</v>
      </c>
      <c r="AO617" s="487" t="e">
        <f t="shared" si="265"/>
        <v>#DIV/0!</v>
      </c>
      <c r="AP617" s="610"/>
    </row>
    <row r="618" spans="1:42" ht="15" hidden="1" customHeight="1" outlineLevel="1">
      <c r="A618" s="666">
        <v>487</v>
      </c>
      <c r="B618" s="477"/>
      <c r="C618" s="477" t="s">
        <v>1941</v>
      </c>
      <c r="D618" s="477" t="s">
        <v>1918</v>
      </c>
      <c r="E618" s="475" t="s">
        <v>1453</v>
      </c>
      <c r="F618" s="477"/>
      <c r="G618" s="482" t="s">
        <v>1949</v>
      </c>
      <c r="H618" s="482">
        <v>281200</v>
      </c>
      <c r="I618" s="580"/>
      <c r="J618" s="580"/>
      <c r="K618" s="581">
        <v>1302.3900000000001</v>
      </c>
      <c r="L618" s="581"/>
      <c r="M618" s="582"/>
      <c r="N618" s="582"/>
      <c r="O618" s="582"/>
      <c r="P618" s="582">
        <f t="shared" si="249"/>
        <v>1302.3900000000001</v>
      </c>
      <c r="Q618" s="582">
        <f t="shared" si="250"/>
        <v>0</v>
      </c>
      <c r="R618" s="583">
        <f t="shared" si="251"/>
        <v>0</v>
      </c>
      <c r="S618" s="584"/>
      <c r="T618" s="584"/>
      <c r="U618" s="585">
        <f t="shared" si="252"/>
        <v>0</v>
      </c>
      <c r="V618" s="586" t="str">
        <f t="shared" si="253"/>
        <v/>
      </c>
      <c r="W618" s="683" t="s">
        <v>2328</v>
      </c>
      <c r="X618" s="619">
        <f t="shared" si="266"/>
        <v>0.01</v>
      </c>
      <c r="Y618" s="618" t="s">
        <v>2051</v>
      </c>
      <c r="Z618" s="624">
        <v>0</v>
      </c>
      <c r="AA618" s="361">
        <f t="shared" si="254"/>
        <v>0</v>
      </c>
      <c r="AB618" s="597"/>
      <c r="AC618" s="485">
        <f t="shared" si="255"/>
        <v>0</v>
      </c>
      <c r="AD618" s="597"/>
      <c r="AE618" s="485">
        <f t="shared" si="256"/>
        <v>0</v>
      </c>
      <c r="AF618" s="508">
        <f t="shared" si="257"/>
        <v>0</v>
      </c>
      <c r="AG618" s="508">
        <f t="shared" si="258"/>
        <v>0</v>
      </c>
      <c r="AH618" s="508">
        <f t="shared" si="259"/>
        <v>0</v>
      </c>
      <c r="AI618" s="508">
        <f t="shared" si="260"/>
        <v>0</v>
      </c>
      <c r="AJ618" s="508">
        <f t="shared" si="261"/>
        <v>0</v>
      </c>
      <c r="AK618" s="508">
        <f t="shared" si="262"/>
        <v>0</v>
      </c>
      <c r="AM618" s="486">
        <f t="shared" si="263"/>
        <v>118</v>
      </c>
      <c r="AN618" s="117">
        <f t="shared" si="264"/>
        <v>-118</v>
      </c>
      <c r="AO618" s="487" t="e">
        <f t="shared" si="265"/>
        <v>#DIV/0!</v>
      </c>
      <c r="AP618" s="610"/>
    </row>
    <row r="619" spans="1:42" ht="15" hidden="1" customHeight="1" outlineLevel="1">
      <c r="A619" s="666">
        <v>488</v>
      </c>
      <c r="B619" s="477"/>
      <c r="C619" s="477" t="s">
        <v>1940</v>
      </c>
      <c r="D619" s="477" t="s">
        <v>1918</v>
      </c>
      <c r="E619" s="475" t="s">
        <v>1453</v>
      </c>
      <c r="F619" s="477"/>
      <c r="G619" s="482" t="s">
        <v>1949</v>
      </c>
      <c r="H619" s="482">
        <v>264300</v>
      </c>
      <c r="I619" s="580"/>
      <c r="J619" s="580"/>
      <c r="K619" s="581">
        <v>1219.8399999999999</v>
      </c>
      <c r="L619" s="581"/>
      <c r="M619" s="582"/>
      <c r="N619" s="582"/>
      <c r="O619" s="582"/>
      <c r="P619" s="582">
        <f t="shared" si="249"/>
        <v>1219.8399999999999</v>
      </c>
      <c r="Q619" s="582">
        <f t="shared" si="250"/>
        <v>0</v>
      </c>
      <c r="R619" s="583">
        <f t="shared" si="251"/>
        <v>0</v>
      </c>
      <c r="S619" s="584"/>
      <c r="T619" s="584"/>
      <c r="U619" s="585">
        <f t="shared" si="252"/>
        <v>0</v>
      </c>
      <c r="V619" s="586" t="str">
        <f t="shared" si="253"/>
        <v/>
      </c>
      <c r="W619" s="683" t="s">
        <v>2328</v>
      </c>
      <c r="X619" s="619">
        <f t="shared" si="266"/>
        <v>0.01</v>
      </c>
      <c r="Y619" s="618" t="s">
        <v>2051</v>
      </c>
      <c r="Z619" s="624">
        <v>0</v>
      </c>
      <c r="AA619" s="361">
        <f t="shared" si="254"/>
        <v>0</v>
      </c>
      <c r="AB619" s="597"/>
      <c r="AC619" s="485">
        <f t="shared" si="255"/>
        <v>0</v>
      </c>
      <c r="AD619" s="597"/>
      <c r="AE619" s="485">
        <f t="shared" si="256"/>
        <v>0</v>
      </c>
      <c r="AF619" s="508">
        <f t="shared" si="257"/>
        <v>0</v>
      </c>
      <c r="AG619" s="508">
        <f t="shared" si="258"/>
        <v>0</v>
      </c>
      <c r="AH619" s="508">
        <f t="shared" si="259"/>
        <v>0</v>
      </c>
      <c r="AI619" s="508">
        <f t="shared" si="260"/>
        <v>0</v>
      </c>
      <c r="AJ619" s="508">
        <f t="shared" si="261"/>
        <v>0</v>
      </c>
      <c r="AK619" s="508">
        <f t="shared" si="262"/>
        <v>0</v>
      </c>
      <c r="AM619" s="486">
        <f t="shared" si="263"/>
        <v>118</v>
      </c>
      <c r="AN619" s="117">
        <f t="shared" si="264"/>
        <v>-118</v>
      </c>
      <c r="AO619" s="487" t="e">
        <f t="shared" si="265"/>
        <v>#DIV/0!</v>
      </c>
      <c r="AP619" s="610"/>
    </row>
    <row r="620" spans="1:42" ht="15" hidden="1" customHeight="1" outlineLevel="1">
      <c r="A620" s="666">
        <v>489</v>
      </c>
      <c r="B620" s="477"/>
      <c r="C620" s="477" t="s">
        <v>1939</v>
      </c>
      <c r="D620" s="477" t="s">
        <v>1918</v>
      </c>
      <c r="E620" s="475" t="s">
        <v>1453</v>
      </c>
      <c r="F620" s="477"/>
      <c r="G620" s="482" t="s">
        <v>1949</v>
      </c>
      <c r="H620" s="482">
        <v>446700</v>
      </c>
      <c r="I620" s="580"/>
      <c r="J620" s="580"/>
      <c r="K620" s="581">
        <v>1298.3499999999999</v>
      </c>
      <c r="L620" s="581"/>
      <c r="M620" s="582"/>
      <c r="N620" s="582"/>
      <c r="O620" s="582"/>
      <c r="P620" s="582">
        <f t="shared" si="249"/>
        <v>1298.3499999999999</v>
      </c>
      <c r="Q620" s="582">
        <f t="shared" si="250"/>
        <v>0</v>
      </c>
      <c r="R620" s="583">
        <f t="shared" si="251"/>
        <v>0</v>
      </c>
      <c r="S620" s="584"/>
      <c r="T620" s="584"/>
      <c r="U620" s="585">
        <f t="shared" si="252"/>
        <v>0</v>
      </c>
      <c r="V620" s="586" t="str">
        <f t="shared" si="253"/>
        <v/>
      </c>
      <c r="W620" s="683" t="s">
        <v>2328</v>
      </c>
      <c r="X620" s="619">
        <f t="shared" si="266"/>
        <v>0</v>
      </c>
      <c r="Y620" s="618" t="s">
        <v>2051</v>
      </c>
      <c r="Z620" s="624">
        <v>0</v>
      </c>
      <c r="AA620" s="361">
        <f t="shared" si="254"/>
        <v>0</v>
      </c>
      <c r="AB620" s="597"/>
      <c r="AC620" s="485">
        <f t="shared" si="255"/>
        <v>0</v>
      </c>
      <c r="AD620" s="597"/>
      <c r="AE620" s="485">
        <f t="shared" si="256"/>
        <v>0</v>
      </c>
      <c r="AF620" s="508">
        <f t="shared" si="257"/>
        <v>0</v>
      </c>
      <c r="AG620" s="508">
        <f t="shared" si="258"/>
        <v>0</v>
      </c>
      <c r="AH620" s="508">
        <f t="shared" si="259"/>
        <v>0</v>
      </c>
      <c r="AI620" s="508">
        <f t="shared" si="260"/>
        <v>0</v>
      </c>
      <c r="AJ620" s="508">
        <f t="shared" si="261"/>
        <v>0</v>
      </c>
      <c r="AK620" s="508">
        <f t="shared" si="262"/>
        <v>0</v>
      </c>
      <c r="AM620" s="486">
        <f t="shared" si="263"/>
        <v>118</v>
      </c>
      <c r="AN620" s="117">
        <f t="shared" si="264"/>
        <v>-118</v>
      </c>
      <c r="AO620" s="487" t="e">
        <f t="shared" si="265"/>
        <v>#DIV/0!</v>
      </c>
      <c r="AP620" s="610"/>
    </row>
    <row r="621" spans="1:42" ht="15" hidden="1" customHeight="1" outlineLevel="1">
      <c r="A621" s="666">
        <v>490</v>
      </c>
      <c r="B621" s="477"/>
      <c r="C621" s="477" t="s">
        <v>1928</v>
      </c>
      <c r="D621" s="477" t="s">
        <v>1929</v>
      </c>
      <c r="E621" s="475" t="s">
        <v>1453</v>
      </c>
      <c r="F621" s="477"/>
      <c r="G621" s="482" t="s">
        <v>1949</v>
      </c>
      <c r="H621" s="482">
        <v>161900</v>
      </c>
      <c r="I621" s="580"/>
      <c r="J621" s="580"/>
      <c r="K621" s="581">
        <v>525.83000000000004</v>
      </c>
      <c r="L621" s="581"/>
      <c r="M621" s="582"/>
      <c r="N621" s="582"/>
      <c r="O621" s="582"/>
      <c r="P621" s="582">
        <f t="shared" si="249"/>
        <v>525.83000000000004</v>
      </c>
      <c r="Q621" s="582">
        <f t="shared" si="250"/>
        <v>0</v>
      </c>
      <c r="R621" s="583">
        <f t="shared" si="251"/>
        <v>0</v>
      </c>
      <c r="S621" s="584"/>
      <c r="T621" s="584"/>
      <c r="U621" s="585">
        <f t="shared" si="252"/>
        <v>0</v>
      </c>
      <c r="V621" s="586" t="str">
        <f t="shared" si="253"/>
        <v/>
      </c>
      <c r="W621" s="683" t="s">
        <v>2328</v>
      </c>
      <c r="X621" s="619">
        <f t="shared" si="266"/>
        <v>0</v>
      </c>
      <c r="Y621" s="618" t="s">
        <v>2051</v>
      </c>
      <c r="Z621" s="624">
        <v>0</v>
      </c>
      <c r="AA621" s="361">
        <f t="shared" si="254"/>
        <v>0</v>
      </c>
      <c r="AB621" s="597"/>
      <c r="AC621" s="485">
        <f t="shared" si="255"/>
        <v>0</v>
      </c>
      <c r="AD621" s="597"/>
      <c r="AE621" s="485">
        <f t="shared" si="256"/>
        <v>0</v>
      </c>
      <c r="AF621" s="508">
        <f t="shared" si="257"/>
        <v>0</v>
      </c>
      <c r="AG621" s="508">
        <f t="shared" si="258"/>
        <v>0</v>
      </c>
      <c r="AH621" s="508">
        <f t="shared" si="259"/>
        <v>0</v>
      </c>
      <c r="AI621" s="508">
        <f t="shared" si="260"/>
        <v>0</v>
      </c>
      <c r="AJ621" s="508">
        <f t="shared" si="261"/>
        <v>0</v>
      </c>
      <c r="AK621" s="508">
        <f t="shared" si="262"/>
        <v>0</v>
      </c>
      <c r="AM621" s="486">
        <f t="shared" si="263"/>
        <v>118</v>
      </c>
      <c r="AN621" s="117">
        <f t="shared" si="264"/>
        <v>-118</v>
      </c>
      <c r="AO621" s="487" t="e">
        <f t="shared" si="265"/>
        <v>#DIV/0!</v>
      </c>
      <c r="AP621" s="610"/>
    </row>
    <row r="622" spans="1:42" ht="15" hidden="1" customHeight="1" outlineLevel="1">
      <c r="A622" s="666">
        <v>491</v>
      </c>
      <c r="B622" s="477"/>
      <c r="C622" s="477" t="s">
        <v>1938</v>
      </c>
      <c r="D622" s="477" t="s">
        <v>1918</v>
      </c>
      <c r="E622" s="475" t="s">
        <v>1453</v>
      </c>
      <c r="F622" s="477"/>
      <c r="G622" s="482" t="s">
        <v>1949</v>
      </c>
      <c r="H622" s="482">
        <v>58200</v>
      </c>
      <c r="I622" s="580"/>
      <c r="J622" s="580"/>
      <c r="K622" s="581">
        <v>169.13</v>
      </c>
      <c r="L622" s="581"/>
      <c r="M622" s="582"/>
      <c r="N622" s="582"/>
      <c r="O622" s="582"/>
      <c r="P622" s="582">
        <f t="shared" si="249"/>
        <v>169.13</v>
      </c>
      <c r="Q622" s="582">
        <f t="shared" si="250"/>
        <v>0</v>
      </c>
      <c r="R622" s="583">
        <f t="shared" si="251"/>
        <v>0</v>
      </c>
      <c r="S622" s="584"/>
      <c r="T622" s="584"/>
      <c r="U622" s="585">
        <f t="shared" si="252"/>
        <v>0</v>
      </c>
      <c r="V622" s="586" t="str">
        <f t="shared" si="253"/>
        <v/>
      </c>
      <c r="W622" s="683" t="s">
        <v>2328</v>
      </c>
      <c r="X622" s="619">
        <f t="shared" si="266"/>
        <v>0</v>
      </c>
      <c r="Y622" s="618" t="s">
        <v>2051</v>
      </c>
      <c r="Z622" s="624">
        <v>0</v>
      </c>
      <c r="AA622" s="361">
        <f t="shared" si="254"/>
        <v>0</v>
      </c>
      <c r="AB622" s="597"/>
      <c r="AC622" s="485">
        <f t="shared" si="255"/>
        <v>0</v>
      </c>
      <c r="AD622" s="597"/>
      <c r="AE622" s="485">
        <f t="shared" si="256"/>
        <v>0</v>
      </c>
      <c r="AF622" s="508">
        <f t="shared" si="257"/>
        <v>0</v>
      </c>
      <c r="AG622" s="508">
        <f t="shared" si="258"/>
        <v>0</v>
      </c>
      <c r="AH622" s="508">
        <f t="shared" si="259"/>
        <v>0</v>
      </c>
      <c r="AI622" s="508">
        <f t="shared" si="260"/>
        <v>0</v>
      </c>
      <c r="AJ622" s="508">
        <f t="shared" si="261"/>
        <v>0</v>
      </c>
      <c r="AK622" s="508">
        <f t="shared" si="262"/>
        <v>0</v>
      </c>
      <c r="AM622" s="486">
        <f t="shared" si="263"/>
        <v>118</v>
      </c>
      <c r="AN622" s="117">
        <f t="shared" si="264"/>
        <v>-118</v>
      </c>
      <c r="AO622" s="487" t="e">
        <f t="shared" si="265"/>
        <v>#DIV/0!</v>
      </c>
      <c r="AP622" s="610"/>
    </row>
    <row r="623" spans="1:42" ht="15" hidden="1" customHeight="1" outlineLevel="1">
      <c r="A623" s="666">
        <v>492</v>
      </c>
      <c r="B623" s="477"/>
      <c r="C623" s="477" t="s">
        <v>1926</v>
      </c>
      <c r="D623" s="477" t="s">
        <v>1927</v>
      </c>
      <c r="E623" s="475" t="s">
        <v>1453</v>
      </c>
      <c r="F623" s="477"/>
      <c r="G623" s="482" t="s">
        <v>1949</v>
      </c>
      <c r="H623" s="482">
        <v>144000</v>
      </c>
      <c r="I623" s="580"/>
      <c r="J623" s="580"/>
      <c r="K623" s="581">
        <v>1816.36</v>
      </c>
      <c r="L623" s="581"/>
      <c r="M623" s="582"/>
      <c r="N623" s="582"/>
      <c r="O623" s="582"/>
      <c r="P623" s="582">
        <f t="shared" si="249"/>
        <v>1816.36</v>
      </c>
      <c r="Q623" s="582">
        <f t="shared" si="250"/>
        <v>0</v>
      </c>
      <c r="R623" s="583">
        <f t="shared" si="251"/>
        <v>0</v>
      </c>
      <c r="S623" s="584"/>
      <c r="T623" s="584"/>
      <c r="U623" s="585">
        <f t="shared" si="252"/>
        <v>0</v>
      </c>
      <c r="V623" s="586" t="str">
        <f t="shared" si="253"/>
        <v/>
      </c>
      <c r="W623" s="683" t="s">
        <v>2328</v>
      </c>
      <c r="X623" s="619">
        <f t="shared" si="266"/>
        <v>0.01</v>
      </c>
      <c r="Y623" s="618" t="s">
        <v>2051</v>
      </c>
      <c r="Z623" s="624">
        <v>0</v>
      </c>
      <c r="AA623" s="361">
        <f t="shared" si="254"/>
        <v>0</v>
      </c>
      <c r="AB623" s="597"/>
      <c r="AC623" s="485">
        <f t="shared" si="255"/>
        <v>0</v>
      </c>
      <c r="AD623" s="597"/>
      <c r="AE623" s="485">
        <f t="shared" si="256"/>
        <v>0</v>
      </c>
      <c r="AF623" s="508">
        <f t="shared" si="257"/>
        <v>0</v>
      </c>
      <c r="AG623" s="508">
        <f t="shared" si="258"/>
        <v>0</v>
      </c>
      <c r="AH623" s="508">
        <f t="shared" si="259"/>
        <v>0</v>
      </c>
      <c r="AI623" s="508">
        <f t="shared" si="260"/>
        <v>0</v>
      </c>
      <c r="AJ623" s="508">
        <f t="shared" si="261"/>
        <v>0</v>
      </c>
      <c r="AK623" s="508">
        <f t="shared" si="262"/>
        <v>0</v>
      </c>
      <c r="AM623" s="486">
        <f t="shared" si="263"/>
        <v>118</v>
      </c>
      <c r="AN623" s="117">
        <f t="shared" si="264"/>
        <v>-118</v>
      </c>
      <c r="AO623" s="487" t="e">
        <f t="shared" si="265"/>
        <v>#DIV/0!</v>
      </c>
      <c r="AP623" s="610"/>
    </row>
    <row r="624" spans="1:42" ht="15" hidden="1" customHeight="1" outlineLevel="1">
      <c r="A624" s="666">
        <v>493</v>
      </c>
      <c r="B624" s="477"/>
      <c r="C624" s="477" t="s">
        <v>1924</v>
      </c>
      <c r="D624" s="477" t="s">
        <v>1925</v>
      </c>
      <c r="E624" s="475" t="s">
        <v>1453</v>
      </c>
      <c r="F624" s="477"/>
      <c r="G624" s="482" t="s">
        <v>1949</v>
      </c>
      <c r="H624" s="482">
        <v>144000</v>
      </c>
      <c r="I624" s="580"/>
      <c r="J624" s="580"/>
      <c r="K624" s="581">
        <v>704.21</v>
      </c>
      <c r="L624" s="581"/>
      <c r="M624" s="582"/>
      <c r="N624" s="582"/>
      <c r="O624" s="582"/>
      <c r="P624" s="582">
        <f t="shared" si="249"/>
        <v>704.21</v>
      </c>
      <c r="Q624" s="582">
        <f t="shared" si="250"/>
        <v>0</v>
      </c>
      <c r="R624" s="583">
        <f t="shared" si="251"/>
        <v>0</v>
      </c>
      <c r="S624" s="584"/>
      <c r="T624" s="584"/>
      <c r="U624" s="585">
        <f t="shared" si="252"/>
        <v>0</v>
      </c>
      <c r="V624" s="586" t="str">
        <f t="shared" si="253"/>
        <v/>
      </c>
      <c r="W624" s="683" t="s">
        <v>2328</v>
      </c>
      <c r="X624" s="619">
        <f t="shared" si="266"/>
        <v>0.01</v>
      </c>
      <c r="Y624" s="618" t="s">
        <v>2051</v>
      </c>
      <c r="Z624" s="624">
        <v>0</v>
      </c>
      <c r="AA624" s="361">
        <f t="shared" si="254"/>
        <v>0</v>
      </c>
      <c r="AB624" s="597"/>
      <c r="AC624" s="485">
        <f t="shared" si="255"/>
        <v>0</v>
      </c>
      <c r="AD624" s="597"/>
      <c r="AE624" s="485">
        <f t="shared" si="256"/>
        <v>0</v>
      </c>
      <c r="AF624" s="508">
        <f t="shared" si="257"/>
        <v>0</v>
      </c>
      <c r="AG624" s="508">
        <f t="shared" si="258"/>
        <v>0</v>
      </c>
      <c r="AH624" s="508">
        <f t="shared" si="259"/>
        <v>0</v>
      </c>
      <c r="AI624" s="508">
        <f t="shared" si="260"/>
        <v>0</v>
      </c>
      <c r="AJ624" s="508">
        <f t="shared" si="261"/>
        <v>0</v>
      </c>
      <c r="AK624" s="508">
        <f t="shared" si="262"/>
        <v>0</v>
      </c>
      <c r="AM624" s="486">
        <f t="shared" si="263"/>
        <v>118</v>
      </c>
      <c r="AN624" s="117">
        <f t="shared" si="264"/>
        <v>-118</v>
      </c>
      <c r="AO624" s="487" t="e">
        <f t="shared" si="265"/>
        <v>#DIV/0!</v>
      </c>
      <c r="AP624" s="610"/>
    </row>
    <row r="625" spans="1:42" ht="15" hidden="1" customHeight="1" outlineLevel="1">
      <c r="A625" s="666">
        <v>494</v>
      </c>
      <c r="B625" s="477"/>
      <c r="C625" s="477" t="s">
        <v>1931</v>
      </c>
      <c r="D625" s="477" t="s">
        <v>1932</v>
      </c>
      <c r="E625" s="475" t="s">
        <v>1453</v>
      </c>
      <c r="F625" s="477"/>
      <c r="G625" s="482" t="s">
        <v>1949</v>
      </c>
      <c r="H625" s="482">
        <v>866700</v>
      </c>
      <c r="I625" s="580"/>
      <c r="J625" s="580"/>
      <c r="K625" s="581">
        <v>4000.15</v>
      </c>
      <c r="L625" s="581"/>
      <c r="M625" s="582"/>
      <c r="N625" s="582"/>
      <c r="O625" s="582"/>
      <c r="P625" s="582">
        <f t="shared" si="249"/>
        <v>4000.15</v>
      </c>
      <c r="Q625" s="582">
        <f t="shared" si="250"/>
        <v>0</v>
      </c>
      <c r="R625" s="583">
        <f t="shared" si="251"/>
        <v>0</v>
      </c>
      <c r="S625" s="584"/>
      <c r="T625" s="584"/>
      <c r="U625" s="585">
        <f t="shared" si="252"/>
        <v>0</v>
      </c>
      <c r="V625" s="586" t="str">
        <f t="shared" si="253"/>
        <v/>
      </c>
      <c r="W625" s="683" t="s">
        <v>2328</v>
      </c>
      <c r="X625" s="619">
        <f t="shared" si="266"/>
        <v>0.01</v>
      </c>
      <c r="Y625" s="618" t="s">
        <v>2051</v>
      </c>
      <c r="Z625" s="624">
        <v>0</v>
      </c>
      <c r="AA625" s="361">
        <f t="shared" si="254"/>
        <v>0</v>
      </c>
      <c r="AB625" s="597"/>
      <c r="AC625" s="485">
        <f t="shared" si="255"/>
        <v>0</v>
      </c>
      <c r="AD625" s="597"/>
      <c r="AE625" s="485">
        <f t="shared" si="256"/>
        <v>0</v>
      </c>
      <c r="AF625" s="508">
        <f t="shared" si="257"/>
        <v>0</v>
      </c>
      <c r="AG625" s="508">
        <f t="shared" si="258"/>
        <v>0</v>
      </c>
      <c r="AH625" s="508">
        <f t="shared" si="259"/>
        <v>0</v>
      </c>
      <c r="AI625" s="508">
        <f t="shared" si="260"/>
        <v>0</v>
      </c>
      <c r="AJ625" s="508">
        <f t="shared" si="261"/>
        <v>0</v>
      </c>
      <c r="AK625" s="508">
        <f t="shared" si="262"/>
        <v>0</v>
      </c>
      <c r="AM625" s="486">
        <f t="shared" si="263"/>
        <v>118</v>
      </c>
      <c r="AN625" s="117">
        <f t="shared" si="264"/>
        <v>-118</v>
      </c>
      <c r="AO625" s="487" t="e">
        <f t="shared" si="265"/>
        <v>#DIV/0!</v>
      </c>
      <c r="AP625" s="610"/>
    </row>
    <row r="626" spans="1:42" ht="15.75" customHeight="1" collapsed="1">
      <c r="A626" s="600"/>
    </row>
  </sheetData>
  <autoFilter ref="A6:AU506">
    <sortState ref="A8:AU506">
      <sortCondition ref="A6:A506"/>
    </sortState>
  </autoFilter>
  <sortState ref="A7:AZ26">
    <sortCondition ref="C7:C26"/>
  </sortState>
  <mergeCells count="26">
    <mergeCell ref="Z5:AK5"/>
    <mergeCell ref="X5:X6"/>
    <mergeCell ref="A2:W2"/>
    <mergeCell ref="P5:Q5"/>
    <mergeCell ref="R5:U5"/>
    <mergeCell ref="V5:V6"/>
    <mergeCell ref="F5:F6"/>
    <mergeCell ref="G5:G6"/>
    <mergeCell ref="N5:O5"/>
    <mergeCell ref="H5:H6"/>
    <mergeCell ref="A3:W3"/>
    <mergeCell ref="W5:W6"/>
    <mergeCell ref="K5:M5"/>
    <mergeCell ref="D5:D6"/>
    <mergeCell ref="E5:E6"/>
    <mergeCell ref="A510:C510"/>
    <mergeCell ref="I5:I6"/>
    <mergeCell ref="J5:J6"/>
    <mergeCell ref="A5:A6"/>
    <mergeCell ref="B5:B6"/>
    <mergeCell ref="C5:C6"/>
    <mergeCell ref="AP5:AP6"/>
    <mergeCell ref="AL5:AL6"/>
    <mergeCell ref="AM5:AM6"/>
    <mergeCell ref="AN5:AN6"/>
    <mergeCell ref="AO5:AO6"/>
  </mergeCells>
  <phoneticPr fontId="6" type="noConversion"/>
  <hyperlinks>
    <hyperlink ref="A1" location="索引目录!E38" display="机器设备"/>
    <hyperlink ref="B1" location="固定资产汇总!B12" display="固定资产-机器设备"/>
  </hyperlinks>
  <printOptions horizontalCentered="1"/>
  <pageMargins left="0.35433070866141736" right="0.35433070866141736" top="0.78740157480314965" bottom="0.78740157480314965" header="1.03" footer="0.51181102362204722"/>
  <pageSetup paperSize="9" scale="92" fitToHeight="0" orientation="landscape" horizontalDpi="4294967292" r:id="rId1"/>
  <headerFooter alignWithMargins="0">
    <oddHeader>&amp;R&amp;"宋体,常规"&amp;10表&amp;"Times New Roman,常规"4-6-4
&amp;"宋体,常规"共&amp;"Times New Roman,常规"&amp;N&amp;"宋体,常规"页第&amp;"Times New Roman,常规"&amp;P&amp;"宋体,常规"页</oddHeader>
  </headerFooter>
  <drawing r:id="rId2"/>
  <legacy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FF0000"/>
    <pageSetUpPr fitToPage="1"/>
  </sheetPr>
  <dimension ref="A1:AI22"/>
  <sheetViews>
    <sheetView workbookViewId="0">
      <pane xSplit="4" ySplit="6" topLeftCell="E7" activePane="bottomRight" state="frozen"/>
      <selection activeCell="E14" sqref="E14"/>
      <selection pane="topRight" activeCell="E14" sqref="E14"/>
      <selection pane="bottomLeft" activeCell="E14" sqref="E14"/>
      <selection pane="bottomRight" activeCell="E14" sqref="E14"/>
    </sheetView>
  </sheetViews>
  <sheetFormatPr defaultRowHeight="15.75" customHeight="1" outlineLevelCol="1"/>
  <cols>
    <col min="1" max="1" width="4.25" style="4" customWidth="1"/>
    <col min="2" max="2" width="8.875" style="4" customWidth="1"/>
    <col min="3" max="3" width="16.25" style="4" customWidth="1"/>
    <col min="4" max="4" width="5.375" style="4" hidden="1" customWidth="1" outlineLevel="1"/>
    <col min="5" max="5" width="13.75" style="4" customWidth="1" collapsed="1"/>
    <col min="6" max="7" width="4.375" style="4" customWidth="1"/>
    <col min="8" max="8" width="8.75" style="4" hidden="1" customWidth="1" outlineLevel="1"/>
    <col min="9" max="9" width="8.5" style="4" customWidth="1" collapsed="1"/>
    <col min="10" max="10" width="7.625" style="4" customWidth="1"/>
    <col min="11" max="11" width="9.625" style="4" hidden="1" customWidth="1" outlineLevel="1"/>
    <col min="12" max="12" width="8.875" style="4" hidden="1" customWidth="1" outlineLevel="1"/>
    <col min="13" max="14" width="5.125" style="4" hidden="1" customWidth="1" outlineLevel="1"/>
    <col min="15" max="15" width="11" style="4" customWidth="1" collapsed="1"/>
    <col min="16" max="16" width="11" style="4" customWidth="1"/>
    <col min="17" max="17" width="11" style="4" customWidth="1" outlineLevel="1"/>
    <col min="18" max="18" width="7.375" style="4" customWidth="1" outlineLevel="1"/>
    <col min="19" max="19" width="11" style="4" customWidth="1" outlineLevel="1"/>
    <col min="20" max="20" width="6" style="4" customWidth="1" outlineLevel="1"/>
    <col min="21" max="21" width="8.375" style="4" customWidth="1"/>
    <col min="22" max="22" width="14.5" style="4" customWidth="1" outlineLevel="1"/>
    <col min="23" max="23" width="5.625" style="4" customWidth="1"/>
    <col min="24" max="26" width="9" style="4" outlineLevel="1"/>
    <col min="27" max="27" width="6.5" style="4" customWidth="1" outlineLevel="1"/>
    <col min="28" max="28" width="7.25" style="4" customWidth="1" outlineLevel="1"/>
    <col min="29" max="29" width="9" style="4" outlineLevel="1"/>
    <col min="30" max="30" width="4.375" style="4" customWidth="1" outlineLevel="1"/>
    <col min="31" max="31" width="7.875" style="4" customWidth="1" outlineLevel="1"/>
    <col min="32" max="32" width="5.625" style="4" customWidth="1" outlineLevel="1"/>
    <col min="33" max="33" width="6.625" style="4" customWidth="1" outlineLevel="1"/>
    <col min="34" max="34" width="5.5" style="4" customWidth="1" outlineLevel="1"/>
    <col min="35" max="35" width="5.625" style="4" customWidth="1" outlineLevel="1"/>
    <col min="36" max="16384" width="9" style="4"/>
  </cols>
  <sheetData>
    <row r="1" spans="1:35" ht="7.5" customHeight="1">
      <c r="A1" s="272" t="s">
        <v>130</v>
      </c>
      <c r="B1" s="196" t="s">
        <v>131</v>
      </c>
      <c r="C1" s="1"/>
      <c r="D1" s="1"/>
      <c r="E1" s="1"/>
      <c r="F1" s="1"/>
      <c r="G1" s="1"/>
      <c r="H1" s="1"/>
      <c r="I1" s="1"/>
      <c r="J1" s="1"/>
      <c r="K1" s="1"/>
      <c r="L1" s="1"/>
      <c r="M1" s="1"/>
      <c r="N1" s="1"/>
      <c r="O1" s="1"/>
      <c r="P1" s="1"/>
      <c r="Q1" s="1"/>
      <c r="R1" s="1"/>
      <c r="S1" s="1"/>
      <c r="T1" s="1"/>
      <c r="U1" s="1"/>
    </row>
    <row r="2" spans="1:35" s="114" customFormat="1" ht="24.75" customHeight="1">
      <c r="A2" s="790" t="s">
        <v>881</v>
      </c>
      <c r="B2" s="791"/>
      <c r="C2" s="791"/>
      <c r="D2" s="791"/>
      <c r="E2" s="791"/>
      <c r="F2" s="791"/>
      <c r="G2" s="791"/>
      <c r="H2" s="791"/>
      <c r="I2" s="791"/>
      <c r="J2" s="791"/>
      <c r="K2" s="791"/>
      <c r="L2" s="791"/>
      <c r="M2" s="791"/>
      <c r="N2" s="791"/>
      <c r="O2" s="791"/>
      <c r="P2" s="791"/>
      <c r="Q2" s="791"/>
      <c r="R2" s="791"/>
      <c r="S2" s="791"/>
      <c r="T2" s="791"/>
      <c r="U2" s="791"/>
    </row>
    <row r="3" spans="1:35" ht="14.1" customHeight="1">
      <c r="A3" s="792" t="e">
        <f>CONCATENATE(#REF!,#REF!,#REF!,#REF!,#REF!,#REF!,#REF!)</f>
        <v>#REF!</v>
      </c>
      <c r="B3" s="792"/>
      <c r="C3" s="792"/>
      <c r="D3" s="792"/>
      <c r="E3" s="792"/>
      <c r="F3" s="792"/>
      <c r="G3" s="792"/>
      <c r="H3" s="792"/>
      <c r="I3" s="808"/>
      <c r="J3" s="808"/>
      <c r="K3" s="808"/>
      <c r="L3" s="808"/>
      <c r="M3" s="808"/>
      <c r="N3" s="808"/>
      <c r="O3" s="808"/>
      <c r="P3" s="808"/>
      <c r="Q3" s="808"/>
      <c r="R3" s="808"/>
      <c r="S3" s="808"/>
      <c r="T3" s="808"/>
      <c r="U3" s="808"/>
    </row>
    <row r="4" spans="1:35" ht="15.75" customHeight="1">
      <c r="A4" s="115" t="e">
        <f>#REF!&amp;#REF!</f>
        <v>#REF!</v>
      </c>
      <c r="U4" s="106" t="s">
        <v>3</v>
      </c>
      <c r="X4" s="972" t="s">
        <v>1040</v>
      </c>
      <c r="Y4" s="972"/>
      <c r="Z4" s="972"/>
      <c r="AA4" s="972"/>
      <c r="AB4" s="972"/>
      <c r="AC4" s="972"/>
      <c r="AD4" s="972"/>
      <c r="AE4" s="972"/>
      <c r="AF4" s="972"/>
      <c r="AG4" s="972"/>
      <c r="AH4" s="972"/>
      <c r="AI4" s="972"/>
    </row>
    <row r="5" spans="1:35" s="1" customFormat="1" ht="15.75" customHeight="1">
      <c r="A5" s="815" t="s">
        <v>4</v>
      </c>
      <c r="B5" s="815" t="s">
        <v>273</v>
      </c>
      <c r="C5" s="837" t="s">
        <v>325</v>
      </c>
      <c r="D5" s="985" t="s">
        <v>1064</v>
      </c>
      <c r="E5" s="837" t="s">
        <v>266</v>
      </c>
      <c r="F5" s="837" t="s">
        <v>267</v>
      </c>
      <c r="G5" s="837" t="s">
        <v>87</v>
      </c>
      <c r="H5" s="837" t="s">
        <v>268</v>
      </c>
      <c r="I5" s="837" t="s">
        <v>269</v>
      </c>
      <c r="J5" s="837" t="s">
        <v>274</v>
      </c>
      <c r="K5" s="986" t="s">
        <v>426</v>
      </c>
      <c r="L5" s="987"/>
      <c r="M5" s="916" t="s">
        <v>710</v>
      </c>
      <c r="N5" s="917"/>
      <c r="O5" s="837" t="s">
        <v>315</v>
      </c>
      <c r="P5" s="838"/>
      <c r="Q5" s="837" t="s">
        <v>0</v>
      </c>
      <c r="R5" s="838"/>
      <c r="S5" s="838"/>
      <c r="T5" s="837" t="s">
        <v>20</v>
      </c>
      <c r="U5" s="837" t="s">
        <v>72</v>
      </c>
      <c r="V5" s="893" t="s">
        <v>423</v>
      </c>
      <c r="W5" s="984" t="s">
        <v>929</v>
      </c>
      <c r="X5" s="979" t="s">
        <v>1041</v>
      </c>
      <c r="Y5" s="980"/>
      <c r="Z5" s="980"/>
      <c r="AA5" s="980"/>
      <c r="AB5" s="980"/>
      <c r="AC5" s="980"/>
      <c r="AD5" s="981" t="s">
        <v>1098</v>
      </c>
      <c r="AE5" s="510">
        <f>机器设备!AM4</f>
        <v>43069</v>
      </c>
      <c r="AF5" s="967" t="s">
        <v>1042</v>
      </c>
      <c r="AG5" s="982" t="s">
        <v>1043</v>
      </c>
      <c r="AH5" s="967" t="s">
        <v>1044</v>
      </c>
      <c r="AI5" s="967" t="s">
        <v>1045</v>
      </c>
    </row>
    <row r="6" spans="1:35" s="116" customFormat="1" ht="15.75" customHeight="1">
      <c r="A6" s="816"/>
      <c r="B6" s="816"/>
      <c r="C6" s="816"/>
      <c r="D6" s="978"/>
      <c r="E6" s="816"/>
      <c r="F6" s="816"/>
      <c r="G6" s="816"/>
      <c r="H6" s="816"/>
      <c r="I6" s="816"/>
      <c r="J6" s="816"/>
      <c r="K6" s="102" t="s">
        <v>270</v>
      </c>
      <c r="L6" s="102" t="s">
        <v>271</v>
      </c>
      <c r="M6" s="102" t="s">
        <v>270</v>
      </c>
      <c r="N6" s="102" t="s">
        <v>271</v>
      </c>
      <c r="O6" s="102" t="s">
        <v>270</v>
      </c>
      <c r="P6" s="102" t="s">
        <v>271</v>
      </c>
      <c r="Q6" s="102" t="s">
        <v>270</v>
      </c>
      <c r="R6" s="322" t="s">
        <v>1068</v>
      </c>
      <c r="S6" s="102" t="s">
        <v>271</v>
      </c>
      <c r="T6" s="816"/>
      <c r="U6" s="816"/>
      <c r="V6" s="894"/>
      <c r="W6" s="984"/>
      <c r="X6" s="124" t="s">
        <v>1046</v>
      </c>
      <c r="Y6" s="120" t="s">
        <v>1032</v>
      </c>
      <c r="Z6" s="120" t="s">
        <v>1047</v>
      </c>
      <c r="AA6" s="120" t="s">
        <v>1048</v>
      </c>
      <c r="AB6" s="522" t="s">
        <v>1049</v>
      </c>
      <c r="AC6" s="120" t="s">
        <v>1050</v>
      </c>
      <c r="AD6" s="967"/>
      <c r="AE6" s="120" t="s">
        <v>1028</v>
      </c>
      <c r="AF6" s="967"/>
      <c r="AG6" s="983"/>
      <c r="AH6" s="967"/>
      <c r="AI6" s="967"/>
    </row>
    <row r="7" spans="1:35" ht="15.75" customHeight="1">
      <c r="A7" s="468">
        <v>1</v>
      </c>
      <c r="B7" s="468"/>
      <c r="C7" s="599"/>
      <c r="D7" s="475"/>
      <c r="E7" s="474"/>
      <c r="F7" s="473" t="s">
        <v>1066</v>
      </c>
      <c r="G7" s="468">
        <v>1</v>
      </c>
      <c r="H7" s="589">
        <f>I7</f>
        <v>0</v>
      </c>
      <c r="I7" s="580"/>
      <c r="J7" s="590"/>
      <c r="K7" s="591"/>
      <c r="L7" s="591"/>
      <c r="M7" s="581"/>
      <c r="N7" s="581"/>
      <c r="O7" s="581">
        <f t="shared" ref="O7:P11" si="0">K7+M7</f>
        <v>0</v>
      </c>
      <c r="P7" s="581">
        <f t="shared" si="0"/>
        <v>0</v>
      </c>
      <c r="Q7" s="592">
        <f>AC7</f>
        <v>0</v>
      </c>
      <c r="R7" s="593">
        <f>AI7</f>
        <v>-687</v>
      </c>
      <c r="S7" s="592">
        <f>ROUND(Q7*R7/100,0)</f>
        <v>0</v>
      </c>
      <c r="T7" s="594" t="str">
        <f>IF(P7=0,"",(S7-P7)/P7*100)</f>
        <v/>
      </c>
      <c r="U7" s="576"/>
      <c r="V7" s="474"/>
      <c r="W7" s="505"/>
      <c r="Y7" s="485">
        <f>X7/1.17</f>
        <v>0</v>
      </c>
      <c r="Z7" s="485">
        <f>Y7*0.1</f>
        <v>0</v>
      </c>
      <c r="AA7" s="493"/>
      <c r="AB7" s="511">
        <f>X7-Y7</f>
        <v>0</v>
      </c>
      <c r="AC7" s="485">
        <f>ROUND(X7+Z7+AA7-AB7,-2)</f>
        <v>0</v>
      </c>
      <c r="AD7" s="116">
        <v>15</v>
      </c>
      <c r="AE7" s="485">
        <f>(AE$5-I7)/365</f>
        <v>118</v>
      </c>
      <c r="AF7" s="487">
        <f>(1-AE7/AD7)*100</f>
        <v>-687</v>
      </c>
      <c r="AG7" s="480">
        <v>600000</v>
      </c>
      <c r="AH7" s="487">
        <f>(1-J7/AG7)*100</f>
        <v>100</v>
      </c>
      <c r="AI7" s="487">
        <f>MIN(AF7,AH7)</f>
        <v>-687</v>
      </c>
    </row>
    <row r="8" spans="1:35" ht="15.75" customHeight="1">
      <c r="A8" s="468">
        <v>2</v>
      </c>
      <c r="B8" s="468"/>
      <c r="C8" s="599"/>
      <c r="D8" s="475"/>
      <c r="E8" s="474"/>
      <c r="F8" s="473" t="s">
        <v>1066</v>
      </c>
      <c r="G8" s="468">
        <v>1</v>
      </c>
      <c r="H8" s="589">
        <f>I8</f>
        <v>0</v>
      </c>
      <c r="I8" s="580"/>
      <c r="J8" s="590"/>
      <c r="K8" s="591"/>
      <c r="L8" s="591"/>
      <c r="M8" s="581"/>
      <c r="N8" s="581"/>
      <c r="O8" s="581">
        <f t="shared" si="0"/>
        <v>0</v>
      </c>
      <c r="P8" s="581">
        <f t="shared" si="0"/>
        <v>0</v>
      </c>
      <c r="Q8" s="592">
        <f>AC8</f>
        <v>0</v>
      </c>
      <c r="R8" s="593">
        <f>AI8</f>
        <v>-687</v>
      </c>
      <c r="S8" s="592">
        <f>ROUND(Q8*R8/100,0)</f>
        <v>0</v>
      </c>
      <c r="T8" s="594" t="str">
        <f>IF(P8=0,"",(S8-P8)/P8*100)</f>
        <v/>
      </c>
      <c r="U8" s="576"/>
      <c r="V8" s="474"/>
      <c r="W8" s="505"/>
      <c r="Y8" s="485">
        <f>X8/1.17</f>
        <v>0</v>
      </c>
      <c r="Z8" s="485">
        <f>Y8*0.1</f>
        <v>0</v>
      </c>
      <c r="AA8" s="493"/>
      <c r="AB8" s="511">
        <f>X8-Y8</f>
        <v>0</v>
      </c>
      <c r="AC8" s="485">
        <f>ROUND(X8+Z8+AA8-AB8,-2)</f>
        <v>0</v>
      </c>
      <c r="AD8" s="116">
        <v>15</v>
      </c>
      <c r="AE8" s="485">
        <f>(AE$5-I8)/365</f>
        <v>118</v>
      </c>
      <c r="AF8" s="487">
        <f>(1-AE8/AD8)*100</f>
        <v>-687</v>
      </c>
      <c r="AG8" s="480">
        <v>600000</v>
      </c>
      <c r="AH8" s="487">
        <f>(1-J8/AG8)*100</f>
        <v>100</v>
      </c>
      <c r="AI8" s="487">
        <f>MIN(AF8,AH8)</f>
        <v>-687</v>
      </c>
    </row>
    <row r="9" spans="1:35" ht="15.75" customHeight="1">
      <c r="A9" s="468">
        <v>3</v>
      </c>
      <c r="B9" s="468"/>
      <c r="C9" s="599"/>
      <c r="D9" s="475"/>
      <c r="E9" s="474"/>
      <c r="F9" s="473" t="s">
        <v>1066</v>
      </c>
      <c r="G9" s="468">
        <v>1</v>
      </c>
      <c r="H9" s="589">
        <f>I9</f>
        <v>0</v>
      </c>
      <c r="I9" s="580"/>
      <c r="J9" s="590"/>
      <c r="K9" s="591"/>
      <c r="L9" s="591"/>
      <c r="M9" s="581"/>
      <c r="N9" s="581"/>
      <c r="O9" s="581">
        <f t="shared" si="0"/>
        <v>0</v>
      </c>
      <c r="P9" s="581">
        <f t="shared" si="0"/>
        <v>0</v>
      </c>
      <c r="Q9" s="592">
        <f>AC9</f>
        <v>0</v>
      </c>
      <c r="R9" s="593">
        <f>AI9</f>
        <v>-687</v>
      </c>
      <c r="S9" s="592">
        <f>ROUND(Q9*R9/100,0)</f>
        <v>0</v>
      </c>
      <c r="T9" s="594" t="str">
        <f>IF(P9=0,"",(S9-P9)/P9*100)</f>
        <v/>
      </c>
      <c r="U9" s="474"/>
      <c r="V9" s="474"/>
      <c r="W9" s="505"/>
      <c r="Y9" s="485">
        <f>X9/1.17</f>
        <v>0</v>
      </c>
      <c r="Z9" s="485">
        <f>Y9*0.1</f>
        <v>0</v>
      </c>
      <c r="AA9" s="493"/>
      <c r="AB9" s="511">
        <f>X9-Y9</f>
        <v>0</v>
      </c>
      <c r="AC9" s="485">
        <f>ROUND(X9+Z9+AA9-AB9,-2)</f>
        <v>0</v>
      </c>
      <c r="AD9" s="116">
        <v>15</v>
      </c>
      <c r="AE9" s="485">
        <f>(AE$5-I9)/365</f>
        <v>118</v>
      </c>
      <c r="AF9" s="487">
        <f>(1-AE9/AD9)*100</f>
        <v>-687</v>
      </c>
      <c r="AG9" s="480">
        <v>600000</v>
      </c>
      <c r="AH9" s="487">
        <f>(1-J9/AG9)*100</f>
        <v>100</v>
      </c>
      <c r="AI9" s="487">
        <f>MIN(AF9,AH9)</f>
        <v>-687</v>
      </c>
    </row>
    <row r="10" spans="1:35" ht="15.75" customHeight="1">
      <c r="A10" s="468">
        <v>4</v>
      </c>
      <c r="B10" s="468"/>
      <c r="C10" s="599"/>
      <c r="D10" s="475"/>
      <c r="E10" s="474"/>
      <c r="F10" s="473" t="s">
        <v>1066</v>
      </c>
      <c r="G10" s="468">
        <v>1</v>
      </c>
      <c r="H10" s="589">
        <f>I10</f>
        <v>0</v>
      </c>
      <c r="I10" s="580"/>
      <c r="J10" s="590"/>
      <c r="K10" s="591"/>
      <c r="L10" s="591"/>
      <c r="M10" s="581"/>
      <c r="N10" s="581"/>
      <c r="O10" s="581">
        <f t="shared" si="0"/>
        <v>0</v>
      </c>
      <c r="P10" s="581">
        <f t="shared" si="0"/>
        <v>0</v>
      </c>
      <c r="Q10" s="592">
        <f>AC10</f>
        <v>0</v>
      </c>
      <c r="R10" s="593">
        <f>AI10</f>
        <v>-687</v>
      </c>
      <c r="S10" s="592">
        <f>ROUND(Q10*R10/100,0)</f>
        <v>0</v>
      </c>
      <c r="T10" s="594" t="str">
        <f>IF(P10=0,"",(S10-P10)/P10*100)</f>
        <v/>
      </c>
      <c r="U10" s="474"/>
      <c r="V10" s="474"/>
      <c r="W10" s="505"/>
      <c r="Y10" s="485">
        <f>X10/1.17</f>
        <v>0</v>
      </c>
      <c r="Z10" s="485">
        <f>Y10*0.1</f>
        <v>0</v>
      </c>
      <c r="AA10" s="493"/>
      <c r="AB10" s="511">
        <f>X10-Y10</f>
        <v>0</v>
      </c>
      <c r="AC10" s="485">
        <f>ROUND(X10+Z10+AA10-AB10,-2)</f>
        <v>0</v>
      </c>
      <c r="AD10" s="116">
        <v>15</v>
      </c>
      <c r="AE10" s="485">
        <f>(AE$5-I10)/365</f>
        <v>118</v>
      </c>
      <c r="AF10" s="487">
        <f>(1-AE10/AD10)*100</f>
        <v>-687</v>
      </c>
      <c r="AG10" s="480">
        <v>600000</v>
      </c>
      <c r="AH10" s="487">
        <f>(1-J10/AG10)*100</f>
        <v>100</v>
      </c>
      <c r="AI10" s="487">
        <f>MIN(AF10,AH10)</f>
        <v>-687</v>
      </c>
    </row>
    <row r="11" spans="1:35" ht="15.75" customHeight="1">
      <c r="A11" s="468">
        <v>5</v>
      </c>
      <c r="B11" s="468"/>
      <c r="C11" s="599"/>
      <c r="D11" s="475"/>
      <c r="E11" s="474"/>
      <c r="F11" s="473" t="s">
        <v>1066</v>
      </c>
      <c r="G11" s="468">
        <v>1</v>
      </c>
      <c r="H11" s="589">
        <f>I11</f>
        <v>0</v>
      </c>
      <c r="I11" s="580"/>
      <c r="J11" s="590"/>
      <c r="K11" s="591"/>
      <c r="L11" s="591"/>
      <c r="M11" s="581"/>
      <c r="N11" s="581"/>
      <c r="O11" s="581">
        <f t="shared" si="0"/>
        <v>0</v>
      </c>
      <c r="P11" s="581">
        <f t="shared" si="0"/>
        <v>0</v>
      </c>
      <c r="Q11" s="592">
        <f>AC11</f>
        <v>0</v>
      </c>
      <c r="R11" s="593">
        <f>AI11</f>
        <v>-687</v>
      </c>
      <c r="S11" s="592">
        <f>ROUND(Q11*R11/100,0)</f>
        <v>0</v>
      </c>
      <c r="T11" s="594" t="str">
        <f>IF(P11=0,"",(S11-P11)/P11*100)</f>
        <v/>
      </c>
      <c r="U11" s="474"/>
      <c r="V11" s="474"/>
      <c r="W11" s="505"/>
      <c r="Y11" s="485">
        <f>X11/1.17</f>
        <v>0</v>
      </c>
      <c r="Z11" s="485">
        <f>Y11*0.1</f>
        <v>0</v>
      </c>
      <c r="AA11" s="493"/>
      <c r="AB11" s="511">
        <f>X11-Y11</f>
        <v>0</v>
      </c>
      <c r="AC11" s="485">
        <f>ROUND(X11+Z11+AA11-AB11,-2)</f>
        <v>0</v>
      </c>
      <c r="AD11" s="116">
        <v>15</v>
      </c>
      <c r="AE11" s="485">
        <f>(AE$5-I11)/365</f>
        <v>118</v>
      </c>
      <c r="AF11" s="487">
        <f>(1-AE11/AD11)*100</f>
        <v>-687</v>
      </c>
      <c r="AG11" s="480">
        <v>600000</v>
      </c>
      <c r="AH11" s="487">
        <f>(1-J11/AG11)*100</f>
        <v>100</v>
      </c>
      <c r="AI11" s="487">
        <f>MIN(AF11,AH11)</f>
        <v>-687</v>
      </c>
    </row>
    <row r="12" spans="1:35" ht="15.75" customHeight="1">
      <c r="A12" s="468"/>
      <c r="B12" s="468"/>
      <c r="C12" s="599"/>
      <c r="D12" s="475"/>
      <c r="E12" s="474"/>
      <c r="F12" s="468"/>
      <c r="G12" s="468"/>
      <c r="H12" s="589"/>
      <c r="I12" s="580"/>
      <c r="J12" s="590"/>
      <c r="K12" s="591"/>
      <c r="L12" s="591"/>
      <c r="M12" s="581"/>
      <c r="N12" s="581"/>
      <c r="O12" s="581"/>
      <c r="P12" s="581"/>
      <c r="Q12" s="592"/>
      <c r="R12" s="593"/>
      <c r="S12" s="592"/>
      <c r="T12" s="582"/>
      <c r="U12" s="474"/>
      <c r="V12" s="474"/>
      <c r="W12" s="505"/>
      <c r="Y12" s="469"/>
      <c r="Z12" s="469"/>
      <c r="AA12" s="471"/>
      <c r="AB12" s="472"/>
      <c r="AC12" s="469"/>
      <c r="AD12" s="116"/>
      <c r="AE12" s="469"/>
      <c r="AF12" s="479"/>
      <c r="AG12" s="480"/>
      <c r="AH12" s="479"/>
      <c r="AI12" s="479"/>
    </row>
    <row r="13" spans="1:35" ht="15.75" customHeight="1">
      <c r="A13" s="468"/>
      <c r="B13" s="468"/>
      <c r="C13" s="474"/>
      <c r="D13" s="475"/>
      <c r="E13" s="474"/>
      <c r="F13" s="468"/>
      <c r="G13" s="468"/>
      <c r="H13" s="589"/>
      <c r="I13" s="587"/>
      <c r="J13" s="595"/>
      <c r="K13" s="582"/>
      <c r="L13" s="582"/>
      <c r="M13" s="582"/>
      <c r="N13" s="582"/>
      <c r="O13" s="581"/>
      <c r="P13" s="581"/>
      <c r="Q13" s="592"/>
      <c r="R13" s="593"/>
      <c r="S13" s="592"/>
      <c r="T13" s="582"/>
      <c r="U13" s="474"/>
      <c r="V13" s="474"/>
      <c r="W13" s="490"/>
      <c r="Y13" s="469"/>
      <c r="Z13" s="469"/>
      <c r="AA13" s="471"/>
      <c r="AB13" s="472"/>
      <c r="AC13" s="469"/>
      <c r="AD13" s="116"/>
      <c r="AE13" s="469"/>
      <c r="AF13" s="479"/>
      <c r="AG13" s="480"/>
      <c r="AH13" s="479"/>
      <c r="AI13" s="479"/>
    </row>
    <row r="14" spans="1:35" ht="15.75" customHeight="1">
      <c r="A14" s="468"/>
      <c r="B14" s="468"/>
      <c r="C14" s="474"/>
      <c r="D14" s="475"/>
      <c r="E14" s="474"/>
      <c r="F14" s="468"/>
      <c r="G14" s="468"/>
      <c r="H14" s="589"/>
      <c r="I14" s="587"/>
      <c r="J14" s="595"/>
      <c r="K14" s="582"/>
      <c r="L14" s="582"/>
      <c r="M14" s="582"/>
      <c r="N14" s="582"/>
      <c r="O14" s="581"/>
      <c r="P14" s="581"/>
      <c r="Q14" s="592"/>
      <c r="R14" s="593"/>
      <c r="S14" s="592"/>
      <c r="T14" s="582"/>
      <c r="U14" s="474"/>
      <c r="V14" s="474"/>
      <c r="W14" s="490"/>
      <c r="Y14" s="469"/>
      <c r="Z14" s="469"/>
      <c r="AA14" s="471"/>
      <c r="AB14" s="472"/>
      <c r="AC14" s="469"/>
      <c r="AD14" s="116"/>
      <c r="AE14" s="469"/>
      <c r="AF14" s="479"/>
      <c r="AG14" s="480"/>
      <c r="AH14" s="479"/>
      <c r="AI14" s="479"/>
    </row>
    <row r="15" spans="1:35" ht="15.75" customHeight="1">
      <c r="A15" s="468"/>
      <c r="B15" s="468"/>
      <c r="C15" s="474"/>
      <c r="D15" s="475"/>
      <c r="E15" s="474"/>
      <c r="F15" s="468"/>
      <c r="G15" s="468"/>
      <c r="H15" s="589"/>
      <c r="I15" s="587"/>
      <c r="J15" s="595"/>
      <c r="K15" s="582"/>
      <c r="L15" s="582"/>
      <c r="M15" s="582"/>
      <c r="N15" s="582"/>
      <c r="O15" s="581"/>
      <c r="P15" s="581"/>
      <c r="Q15" s="592"/>
      <c r="R15" s="593"/>
      <c r="S15" s="592"/>
      <c r="T15" s="582"/>
      <c r="U15" s="474"/>
      <c r="V15" s="474"/>
      <c r="W15" s="490"/>
      <c r="Y15" s="469"/>
      <c r="Z15" s="469"/>
      <c r="AA15" s="471"/>
      <c r="AB15" s="472"/>
      <c r="AC15" s="469"/>
      <c r="AD15" s="116"/>
      <c r="AE15" s="469"/>
      <c r="AF15" s="479"/>
      <c r="AG15" s="480"/>
      <c r="AH15" s="479"/>
      <c r="AI15" s="479"/>
    </row>
    <row r="16" spans="1:35" ht="15.75" customHeight="1">
      <c r="A16" s="468"/>
      <c r="B16" s="468"/>
      <c r="C16" s="474"/>
      <c r="D16" s="475"/>
      <c r="E16" s="474"/>
      <c r="F16" s="468"/>
      <c r="G16" s="468"/>
      <c r="H16" s="589"/>
      <c r="I16" s="587"/>
      <c r="J16" s="595"/>
      <c r="K16" s="582"/>
      <c r="L16" s="582"/>
      <c r="M16" s="582"/>
      <c r="N16" s="582"/>
      <c r="O16" s="581"/>
      <c r="P16" s="581"/>
      <c r="Q16" s="592"/>
      <c r="R16" s="593"/>
      <c r="S16" s="592"/>
      <c r="T16" s="582"/>
      <c r="U16" s="474"/>
      <c r="V16" s="474"/>
      <c r="W16" s="490"/>
      <c r="Y16" s="469"/>
      <c r="Z16" s="469"/>
      <c r="AA16" s="471"/>
      <c r="AB16" s="472"/>
      <c r="AC16" s="469"/>
      <c r="AD16" s="116"/>
      <c r="AE16" s="469"/>
      <c r="AF16" s="479"/>
      <c r="AG16" s="480"/>
      <c r="AH16" s="479"/>
      <c r="AI16" s="479"/>
    </row>
    <row r="17" spans="1:23" ht="15.75" customHeight="1">
      <c r="A17" s="468"/>
      <c r="B17" s="468"/>
      <c r="C17" s="474"/>
      <c r="D17" s="475"/>
      <c r="E17" s="474"/>
      <c r="F17" s="468"/>
      <c r="G17" s="468"/>
      <c r="H17" s="588"/>
      <c r="I17" s="588"/>
      <c r="J17" s="595"/>
      <c r="K17" s="582"/>
      <c r="L17" s="582"/>
      <c r="M17" s="582"/>
      <c r="N17" s="582"/>
      <c r="O17" s="582"/>
      <c r="P17" s="582"/>
      <c r="Q17" s="582"/>
      <c r="R17" s="584"/>
      <c r="S17" s="582"/>
      <c r="T17" s="582"/>
      <c r="U17" s="474"/>
      <c r="V17" s="474"/>
      <c r="W17" s="490"/>
    </row>
    <row r="18" spans="1:23" ht="15.75" customHeight="1">
      <c r="A18" s="468"/>
      <c r="B18" s="468"/>
      <c r="C18" s="474"/>
      <c r="D18" s="475"/>
      <c r="E18" s="474"/>
      <c r="F18" s="468"/>
      <c r="G18" s="468"/>
      <c r="H18" s="588"/>
      <c r="I18" s="588"/>
      <c r="J18" s="595"/>
      <c r="K18" s="582"/>
      <c r="L18" s="582"/>
      <c r="M18" s="582"/>
      <c r="N18" s="582"/>
      <c r="O18" s="582"/>
      <c r="P18" s="582"/>
      <c r="Q18" s="582"/>
      <c r="R18" s="584"/>
      <c r="S18" s="582"/>
      <c r="T18" s="582"/>
      <c r="U18" s="474"/>
      <c r="V18" s="474"/>
      <c r="W18" s="490"/>
    </row>
    <row r="19" spans="1:23" ht="15.75" customHeight="1">
      <c r="A19" s="883" t="s">
        <v>54</v>
      </c>
      <c r="B19" s="884"/>
      <c r="C19" s="885"/>
      <c r="D19" s="475"/>
      <c r="E19" s="474"/>
      <c r="F19" s="468"/>
      <c r="G19" s="468"/>
      <c r="H19" s="588"/>
      <c r="I19" s="588"/>
      <c r="J19" s="468"/>
      <c r="K19" s="582">
        <f>SUM(K7:K18)</f>
        <v>0</v>
      </c>
      <c r="L19" s="582">
        <f>SUM(L7:L18)</f>
        <v>0</v>
      </c>
      <c r="M19" s="582"/>
      <c r="N19" s="582"/>
      <c r="O19" s="582">
        <f>SUM(O7:O18)</f>
        <v>0</v>
      </c>
      <c r="P19" s="582">
        <f>SUM(P7:P18)</f>
        <v>0</v>
      </c>
      <c r="Q19" s="582">
        <f>SUM(Q7:Q18)</f>
        <v>0</v>
      </c>
      <c r="R19" s="584"/>
      <c r="S19" s="582">
        <f>SUM(S7:S18)</f>
        <v>0</v>
      </c>
      <c r="T19" s="582" t="str">
        <f>IF(P19=0,"",(S19-P19)/P19*100)</f>
        <v/>
      </c>
      <c r="U19" s="522"/>
      <c r="V19" s="522"/>
      <c r="W19" s="490"/>
    </row>
    <row r="20" spans="1:23" ht="15.75" customHeight="1">
      <c r="A20" s="101" t="e">
        <f>#REF!&amp;#REF!</f>
        <v>#REF!</v>
      </c>
      <c r="O20" s="101" t="e">
        <f>"评估人员："&amp;#REF!</f>
        <v>#REF!</v>
      </c>
    </row>
    <row r="21" spans="1:23" ht="15.75" customHeight="1">
      <c r="A21" s="101" t="e">
        <f>CONCATENATE(#REF!,#REF!,#REF!,#REF!,#REF!,#REF!,#REF!)</f>
        <v>#REF!</v>
      </c>
    </row>
    <row r="22" spans="1:23" ht="15.75" customHeight="1">
      <c r="O22" s="469"/>
      <c r="P22" s="469"/>
    </row>
  </sheetData>
  <autoFilter ref="A6:AI6"/>
  <mergeCells count="28">
    <mergeCell ref="A2:U2"/>
    <mergeCell ref="O5:P5"/>
    <mergeCell ref="Q5:S5"/>
    <mergeCell ref="T5:T6"/>
    <mergeCell ref="U5:U6"/>
    <mergeCell ref="A5:A6"/>
    <mergeCell ref="K5:L5"/>
    <mergeCell ref="A19:C19"/>
    <mergeCell ref="I5:I6"/>
    <mergeCell ref="C5:C6"/>
    <mergeCell ref="E5:E6"/>
    <mergeCell ref="F5:F6"/>
    <mergeCell ref="B5:B6"/>
    <mergeCell ref="G5:G6"/>
    <mergeCell ref="W5:W6"/>
    <mergeCell ref="H5:H6"/>
    <mergeCell ref="D5:D6"/>
    <mergeCell ref="V5:V6"/>
    <mergeCell ref="A3:U3"/>
    <mergeCell ref="M5:N5"/>
    <mergeCell ref="J5:J6"/>
    <mergeCell ref="X5:AC5"/>
    <mergeCell ref="X4:AI4"/>
    <mergeCell ref="AD5:AD6"/>
    <mergeCell ref="AF5:AF6"/>
    <mergeCell ref="AG5:AG6"/>
    <mergeCell ref="AH5:AH6"/>
    <mergeCell ref="AI5:AI6"/>
  </mergeCells>
  <phoneticPr fontId="6" type="noConversion"/>
  <hyperlinks>
    <hyperlink ref="A1" location="索引目录!E39" display="车辆"/>
    <hyperlink ref="B1" location="固定资产汇总!B13" display="固定资产-车辆"/>
  </hyperlinks>
  <printOptions horizontalCentered="1"/>
  <pageMargins left="0.35433070866141736" right="0.35433070866141736" top="0.78740157480314965" bottom="0.78740157480314965" header="1.03" footer="0.51181102362204722"/>
  <pageSetup paperSize="9" scale="69" fitToHeight="0" orientation="landscape" horizontalDpi="4294967292" r:id="rId1"/>
  <headerFooter alignWithMargins="0">
    <oddHeader>&amp;R&amp;"宋体,常规"&amp;10表&amp;"Times New Roman,常规"4-6-5
&amp;"宋体,常规"共&amp;"Times New Roman,常规"&amp;N&amp;"宋体,常规"页第&amp;"Times New Roman,常规"&amp;P&amp;"宋体,常规"页</oddHead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rgb="FFFF0000"/>
    <pageSetUpPr fitToPage="1"/>
  </sheetPr>
  <dimension ref="A1:AC133"/>
  <sheetViews>
    <sheetView workbookViewId="0">
      <pane xSplit="5" ySplit="6" topLeftCell="F119" activePane="bottomRight" state="frozen"/>
      <selection activeCell="E14" sqref="E14"/>
      <selection pane="topRight" activeCell="E14" sqref="E14"/>
      <selection pane="bottomLeft" activeCell="E14" sqref="E14"/>
      <selection pane="bottomRight" activeCell="R134" sqref="R134"/>
    </sheetView>
  </sheetViews>
  <sheetFormatPr defaultRowHeight="15.75" customHeight="1" outlineLevelCol="1"/>
  <cols>
    <col min="1" max="1" width="4.875" style="4" customWidth="1"/>
    <col min="2" max="2" width="4.625" style="4" hidden="1" customWidth="1" outlineLevel="1"/>
    <col min="3" max="3" width="14.375" style="4" customWidth="1" collapsed="1"/>
    <col min="4" max="4" width="13.375" style="4" customWidth="1"/>
    <col min="5" max="5" width="5.625" style="4" hidden="1" customWidth="1" outlineLevel="1"/>
    <col min="6" max="6" width="10.375" style="4" customWidth="1" collapsed="1"/>
    <col min="7" max="7" width="4.75" style="4" customWidth="1"/>
    <col min="8" max="8" width="4.875" style="4" customWidth="1"/>
    <col min="9" max="9" width="7.25" style="4" hidden="1" customWidth="1" outlineLevel="1"/>
    <col min="10" max="10" width="7.25" style="4" customWidth="1" collapsed="1"/>
    <col min="11" max="11" width="11" style="4" hidden="1" customWidth="1" outlineLevel="1"/>
    <col min="12" max="12" width="10" style="4" hidden="1" customWidth="1" outlineLevel="1"/>
    <col min="13" max="13" width="6.25" style="4" hidden="1" customWidth="1" outlineLevel="1"/>
    <col min="14" max="15" width="5.375" style="4" hidden="1" customWidth="1" outlineLevel="1"/>
    <col min="16" max="16" width="11" style="4" customWidth="1" collapsed="1"/>
    <col min="17" max="17" width="11" style="4" customWidth="1"/>
    <col min="18" max="18" width="11" style="4" customWidth="1" outlineLevel="1"/>
    <col min="19" max="19" width="5.75" style="4" customWidth="1" outlineLevel="1"/>
    <col min="20" max="20" width="11" style="4" customWidth="1" outlineLevel="1"/>
    <col min="21" max="21" width="5" style="4" customWidth="1" outlineLevel="1"/>
    <col min="22" max="22" width="7.875" style="4" customWidth="1"/>
    <col min="23" max="23" width="5.75" style="4" customWidth="1"/>
    <col min="24" max="24" width="9" style="4" outlineLevel="1"/>
    <col min="25" max="25" width="6.375" style="122" customWidth="1" outlineLevel="1"/>
    <col min="26" max="26" width="9.625" style="4" customWidth="1" outlineLevel="1"/>
    <col min="27" max="27" width="5.125" style="4" customWidth="1" outlineLevel="1"/>
    <col min="28" max="28" width="8.125" style="4" customWidth="1" outlineLevel="1"/>
    <col min="29" max="29" width="7.75" style="4" customWidth="1" outlineLevel="1"/>
    <col min="30" max="30" width="4.5" style="4" customWidth="1"/>
    <col min="31" max="16384" width="9" style="4"/>
  </cols>
  <sheetData>
    <row r="1" spans="1:29" ht="8.25" customHeight="1">
      <c r="A1" s="272" t="s">
        <v>130</v>
      </c>
      <c r="B1" s="196" t="s">
        <v>131</v>
      </c>
      <c r="C1" s="1"/>
      <c r="D1" s="1"/>
      <c r="E1" s="1"/>
      <c r="F1" s="1"/>
      <c r="G1" s="1"/>
      <c r="H1" s="1"/>
      <c r="I1" s="1"/>
      <c r="J1" s="1"/>
      <c r="K1" s="1"/>
      <c r="L1" s="1"/>
      <c r="M1" s="1"/>
      <c r="N1" s="1"/>
      <c r="O1" s="1"/>
      <c r="P1" s="1"/>
      <c r="Q1" s="1"/>
      <c r="R1" s="1"/>
      <c r="S1" s="1"/>
      <c r="T1" s="1"/>
      <c r="U1" s="1"/>
      <c r="V1" s="1"/>
    </row>
    <row r="2" spans="1:29" s="114" customFormat="1" ht="25.5" customHeight="1">
      <c r="A2" s="790" t="s">
        <v>880</v>
      </c>
      <c r="B2" s="791"/>
      <c r="C2" s="791"/>
      <c r="D2" s="791"/>
      <c r="E2" s="791"/>
      <c r="F2" s="791"/>
      <c r="G2" s="791"/>
      <c r="H2" s="791"/>
      <c r="I2" s="791"/>
      <c r="J2" s="791"/>
      <c r="K2" s="791"/>
      <c r="L2" s="791"/>
      <c r="M2" s="791"/>
      <c r="N2" s="791"/>
      <c r="O2" s="791"/>
      <c r="P2" s="791"/>
      <c r="Q2" s="791"/>
      <c r="R2" s="791"/>
      <c r="S2" s="791"/>
      <c r="T2" s="791"/>
      <c r="U2" s="791"/>
      <c r="V2" s="791"/>
      <c r="Y2" s="483"/>
    </row>
    <row r="3" spans="1:29" ht="14.1" customHeight="1">
      <c r="A3" s="792" t="e">
        <f>CONCATENATE(#REF!,#REF!,#REF!,#REF!,#REF!,#REF!,#REF!)</f>
        <v>#REF!</v>
      </c>
      <c r="B3" s="792"/>
      <c r="C3" s="792"/>
      <c r="D3" s="792"/>
      <c r="E3" s="792"/>
      <c r="F3" s="792"/>
      <c r="G3" s="792"/>
      <c r="H3" s="792"/>
      <c r="I3" s="808"/>
      <c r="J3" s="808"/>
      <c r="K3" s="808"/>
      <c r="L3" s="808"/>
      <c r="M3" s="808"/>
      <c r="N3" s="808"/>
      <c r="O3" s="808"/>
      <c r="P3" s="808"/>
      <c r="Q3" s="808"/>
      <c r="R3" s="808"/>
      <c r="S3" s="808"/>
      <c r="T3" s="808"/>
      <c r="U3" s="808"/>
      <c r="V3" s="808"/>
    </row>
    <row r="4" spans="1:29" ht="15.75" customHeight="1">
      <c r="A4" s="115" t="e">
        <f>#REF!&amp;#REF!</f>
        <v>#REF!</v>
      </c>
      <c r="V4" s="106" t="s">
        <v>3</v>
      </c>
      <c r="X4" s="988" t="s">
        <v>1040</v>
      </c>
      <c r="Y4" s="989"/>
      <c r="Z4" s="989"/>
      <c r="AA4" s="989"/>
      <c r="AB4" s="989"/>
      <c r="AC4" s="989"/>
    </row>
    <row r="5" spans="1:29" s="1" customFormat="1" ht="15.75" customHeight="1">
      <c r="A5" s="815" t="s">
        <v>4</v>
      </c>
      <c r="B5" s="837" t="s">
        <v>324</v>
      </c>
      <c r="C5" s="837" t="s">
        <v>265</v>
      </c>
      <c r="D5" s="837" t="s">
        <v>86</v>
      </c>
      <c r="E5" s="985" t="s">
        <v>88</v>
      </c>
      <c r="F5" s="837" t="s">
        <v>266</v>
      </c>
      <c r="G5" s="837" t="s">
        <v>267</v>
      </c>
      <c r="H5" s="837" t="s">
        <v>87</v>
      </c>
      <c r="I5" s="837" t="s">
        <v>268</v>
      </c>
      <c r="J5" s="837" t="s">
        <v>269</v>
      </c>
      <c r="K5" s="913" t="s">
        <v>426</v>
      </c>
      <c r="L5" s="914"/>
      <c r="M5" s="915"/>
      <c r="N5" s="916" t="s">
        <v>710</v>
      </c>
      <c r="O5" s="917"/>
      <c r="P5" s="837" t="s">
        <v>315</v>
      </c>
      <c r="Q5" s="838"/>
      <c r="R5" s="837" t="s">
        <v>0</v>
      </c>
      <c r="S5" s="838"/>
      <c r="T5" s="838"/>
      <c r="U5" s="837" t="s">
        <v>20</v>
      </c>
      <c r="V5" s="837" t="s">
        <v>72</v>
      </c>
      <c r="W5" s="984" t="s">
        <v>929</v>
      </c>
      <c r="X5" s="991" t="s">
        <v>1051</v>
      </c>
      <c r="Y5" s="993" t="s">
        <v>1052</v>
      </c>
      <c r="Z5" s="990" t="s">
        <v>1053</v>
      </c>
      <c r="AA5" s="992" t="s">
        <v>1027</v>
      </c>
      <c r="AB5" s="510">
        <f>机器设备!AM4</f>
        <v>43069</v>
      </c>
      <c r="AC5" s="990" t="s">
        <v>1030</v>
      </c>
    </row>
    <row r="6" spans="1:29" s="116" customFormat="1" ht="15.75" customHeight="1">
      <c r="A6" s="816"/>
      <c r="B6" s="816"/>
      <c r="C6" s="816"/>
      <c r="D6" s="816"/>
      <c r="E6" s="978"/>
      <c r="F6" s="816"/>
      <c r="G6" s="816"/>
      <c r="H6" s="816"/>
      <c r="I6" s="816"/>
      <c r="J6" s="816"/>
      <c r="K6" s="102" t="s">
        <v>270</v>
      </c>
      <c r="L6" s="102" t="s">
        <v>939</v>
      </c>
      <c r="M6" s="473" t="s">
        <v>933</v>
      </c>
      <c r="N6" s="102" t="s">
        <v>270</v>
      </c>
      <c r="O6" s="102" t="s">
        <v>271</v>
      </c>
      <c r="P6" s="102" t="s">
        <v>270</v>
      </c>
      <c r="Q6" s="102" t="s">
        <v>271</v>
      </c>
      <c r="R6" s="102" t="s">
        <v>270</v>
      </c>
      <c r="S6" s="322" t="s">
        <v>1068</v>
      </c>
      <c r="T6" s="102" t="s">
        <v>271</v>
      </c>
      <c r="U6" s="816"/>
      <c r="V6" s="816"/>
      <c r="W6" s="984"/>
      <c r="X6" s="991"/>
      <c r="Y6" s="993"/>
      <c r="Z6" s="990"/>
      <c r="AA6" s="992"/>
      <c r="AB6" s="515" t="s">
        <v>1054</v>
      </c>
      <c r="AC6" s="990"/>
    </row>
    <row r="7" spans="1:29" s="138" customFormat="1" ht="15.75" customHeight="1">
      <c r="A7" s="482">
        <v>1</v>
      </c>
      <c r="B7" s="482"/>
      <c r="C7" s="477"/>
      <c r="D7" s="477"/>
      <c r="E7" s="475"/>
      <c r="F7" s="477"/>
      <c r="G7" s="579" t="s">
        <v>1065</v>
      </c>
      <c r="H7" s="482">
        <v>1</v>
      </c>
      <c r="I7" s="580">
        <f>J7</f>
        <v>0</v>
      </c>
      <c r="J7" s="580"/>
      <c r="K7" s="581"/>
      <c r="L7" s="581"/>
      <c r="M7" s="581"/>
      <c r="N7" s="581"/>
      <c r="O7" s="581"/>
      <c r="P7" s="581">
        <f t="shared" ref="P7:Q11" si="0">K7+N7</f>
        <v>0</v>
      </c>
      <c r="Q7" s="581">
        <f t="shared" si="0"/>
        <v>0</v>
      </c>
      <c r="R7" s="585">
        <f>Z7</f>
        <v>0</v>
      </c>
      <c r="S7" s="596" t="e">
        <f>AC7</f>
        <v>#DIV/0!</v>
      </c>
      <c r="T7" s="585" t="e">
        <f>IF(S7="",R7,ROUND(R7*S7/100,0))</f>
        <v>#DIV/0!</v>
      </c>
      <c r="U7" s="585" t="str">
        <f>IF(Q7=0,"",(T7-Q7)/Q7*100)</f>
        <v/>
      </c>
      <c r="V7" s="477"/>
      <c r="W7" s="488"/>
      <c r="Y7" s="512">
        <f>H7</f>
        <v>1</v>
      </c>
      <c r="Z7" s="513">
        <f>ROUND(X7/1.17,-2)*Y7</f>
        <v>0</v>
      </c>
      <c r="AA7" s="496"/>
      <c r="AB7" s="513">
        <f>(AB$5-J7)/365</f>
        <v>118</v>
      </c>
      <c r="AC7" s="514" t="e">
        <f>(1-AB7/AA7)*100</f>
        <v>#DIV/0!</v>
      </c>
    </row>
    <row r="8" spans="1:29" s="138" customFormat="1" ht="15.75" customHeight="1">
      <c r="A8" s="482">
        <v>2</v>
      </c>
      <c r="B8" s="482"/>
      <c r="C8" s="494"/>
      <c r="D8" s="477"/>
      <c r="E8" s="475"/>
      <c r="F8" s="477"/>
      <c r="G8" s="579" t="s">
        <v>1065</v>
      </c>
      <c r="H8" s="482">
        <v>1</v>
      </c>
      <c r="I8" s="580">
        <f>J8</f>
        <v>0</v>
      </c>
      <c r="J8" s="580"/>
      <c r="K8" s="581"/>
      <c r="L8" s="581"/>
      <c r="M8" s="581"/>
      <c r="N8" s="581"/>
      <c r="O8" s="581"/>
      <c r="P8" s="581">
        <f t="shared" si="0"/>
        <v>0</v>
      </c>
      <c r="Q8" s="581">
        <f t="shared" si="0"/>
        <v>0</v>
      </c>
      <c r="R8" s="585">
        <f>Z8</f>
        <v>0</v>
      </c>
      <c r="S8" s="596" t="e">
        <f>AC8</f>
        <v>#DIV/0!</v>
      </c>
      <c r="T8" s="585" t="e">
        <f>IF(S8="",R8,ROUND(R8*S8/100,0))</f>
        <v>#DIV/0!</v>
      </c>
      <c r="U8" s="585" t="str">
        <f>IF(Q8=0,"",(T8-Q8)/Q8*100)</f>
        <v/>
      </c>
      <c r="V8" s="494"/>
      <c r="W8" s="488"/>
      <c r="Y8" s="495">
        <f>H8</f>
        <v>1</v>
      </c>
      <c r="Z8" s="361">
        <f>ROUND(X8/1.17,-2)*Y8</f>
        <v>0</v>
      </c>
      <c r="AA8" s="496"/>
      <c r="AB8" s="361">
        <f>(AB$5-J8)/365</f>
        <v>118</v>
      </c>
      <c r="AC8" s="497" t="e">
        <f>(1-AB8/AA8)*100</f>
        <v>#DIV/0!</v>
      </c>
    </row>
    <row r="9" spans="1:29" s="138" customFormat="1" ht="15.75" customHeight="1">
      <c r="A9" s="482">
        <v>3</v>
      </c>
      <c r="B9" s="482"/>
      <c r="C9" s="477"/>
      <c r="D9" s="477"/>
      <c r="E9" s="475"/>
      <c r="F9" s="477"/>
      <c r="G9" s="579" t="s">
        <v>1065</v>
      </c>
      <c r="H9" s="482">
        <v>1</v>
      </c>
      <c r="I9" s="580">
        <f>J9</f>
        <v>0</v>
      </c>
      <c r="J9" s="580"/>
      <c r="K9" s="581"/>
      <c r="L9" s="581"/>
      <c r="M9" s="581"/>
      <c r="N9" s="581"/>
      <c r="O9" s="581"/>
      <c r="P9" s="581">
        <f t="shared" si="0"/>
        <v>0</v>
      </c>
      <c r="Q9" s="581">
        <f t="shared" si="0"/>
        <v>0</v>
      </c>
      <c r="R9" s="585">
        <f>Z9</f>
        <v>0</v>
      </c>
      <c r="S9" s="596" t="e">
        <f>AC9</f>
        <v>#DIV/0!</v>
      </c>
      <c r="T9" s="585" t="e">
        <f>IF(S9="",R9,ROUND(R9*S9/100,0))</f>
        <v>#DIV/0!</v>
      </c>
      <c r="U9" s="585" t="str">
        <f>IF(Q9=0,"",(T9-Q9)/Q9*100)</f>
        <v/>
      </c>
      <c r="V9" s="477"/>
      <c r="W9" s="488"/>
      <c r="Y9" s="495">
        <f>H9</f>
        <v>1</v>
      </c>
      <c r="Z9" s="361">
        <f>ROUND(X9/1.17,-2)*Y9</f>
        <v>0</v>
      </c>
      <c r="AA9" s="496"/>
      <c r="AB9" s="361">
        <f>(AB$5-J9)/365</f>
        <v>118</v>
      </c>
      <c r="AC9" s="497" t="e">
        <f>(1-AB9/AA9)*100</f>
        <v>#DIV/0!</v>
      </c>
    </row>
    <row r="10" spans="1:29" s="138" customFormat="1" ht="15.75" customHeight="1">
      <c r="A10" s="482">
        <v>4</v>
      </c>
      <c r="B10" s="482"/>
      <c r="C10" s="477"/>
      <c r="D10" s="477"/>
      <c r="E10" s="475"/>
      <c r="F10" s="494"/>
      <c r="G10" s="579" t="s">
        <v>1065</v>
      </c>
      <c r="H10" s="482">
        <v>1</v>
      </c>
      <c r="I10" s="580">
        <f>J10</f>
        <v>0</v>
      </c>
      <c r="J10" s="580"/>
      <c r="K10" s="581"/>
      <c r="L10" s="581"/>
      <c r="M10" s="581"/>
      <c r="N10" s="581"/>
      <c r="O10" s="581"/>
      <c r="P10" s="581">
        <f t="shared" si="0"/>
        <v>0</v>
      </c>
      <c r="Q10" s="581">
        <f t="shared" si="0"/>
        <v>0</v>
      </c>
      <c r="R10" s="585">
        <f>Z10</f>
        <v>0</v>
      </c>
      <c r="S10" s="596" t="e">
        <f>AC10</f>
        <v>#DIV/0!</v>
      </c>
      <c r="T10" s="585" t="e">
        <f>IF(S10="",R10,ROUND(R10*S10/100,0))</f>
        <v>#DIV/0!</v>
      </c>
      <c r="U10" s="585" t="str">
        <f>IF(Q10=0,"",(T10-Q10)/Q10*100)</f>
        <v/>
      </c>
      <c r="V10" s="477"/>
      <c r="W10" s="488"/>
      <c r="Y10" s="495">
        <f>H10</f>
        <v>1</v>
      </c>
      <c r="Z10" s="361">
        <f>ROUND(X10/1.17,-2)*Y10</f>
        <v>0</v>
      </c>
      <c r="AA10" s="496"/>
      <c r="AB10" s="361">
        <f>(AB$5-J10)/365</f>
        <v>118</v>
      </c>
      <c r="AC10" s="497" t="e">
        <f>(1-AB10/AA10)*100</f>
        <v>#DIV/0!</v>
      </c>
    </row>
    <row r="11" spans="1:29" s="138" customFormat="1" ht="15.75" customHeight="1">
      <c r="A11" s="482">
        <v>5</v>
      </c>
      <c r="B11" s="482"/>
      <c r="C11" s="494"/>
      <c r="D11" s="477"/>
      <c r="E11" s="475"/>
      <c r="F11" s="477"/>
      <c r="G11" s="579" t="s">
        <v>1065</v>
      </c>
      <c r="H11" s="482">
        <v>1</v>
      </c>
      <c r="I11" s="580">
        <f>J11</f>
        <v>0</v>
      </c>
      <c r="J11" s="580"/>
      <c r="K11" s="581"/>
      <c r="L11" s="581"/>
      <c r="M11" s="581"/>
      <c r="N11" s="581"/>
      <c r="O11" s="581"/>
      <c r="P11" s="581">
        <f t="shared" si="0"/>
        <v>0</v>
      </c>
      <c r="Q11" s="581">
        <f t="shared" si="0"/>
        <v>0</v>
      </c>
      <c r="R11" s="585">
        <f>Z11</f>
        <v>0</v>
      </c>
      <c r="S11" s="596" t="e">
        <f>AC11</f>
        <v>#DIV/0!</v>
      </c>
      <c r="T11" s="585" t="e">
        <f>IF(S11="",R11,ROUND(R11*S11/100,0))</f>
        <v>#DIV/0!</v>
      </c>
      <c r="U11" s="585" t="str">
        <f>IF(Q11=0,"",(T11-Q11)/Q11*100)</f>
        <v/>
      </c>
      <c r="V11" s="477"/>
      <c r="W11" s="488"/>
      <c r="Y11" s="495">
        <f>H11</f>
        <v>1</v>
      </c>
      <c r="Z11" s="361">
        <f>ROUND(X11/1.17,-2)*Y11</f>
        <v>0</v>
      </c>
      <c r="AA11" s="496"/>
      <c r="AB11" s="361">
        <f>(AB$5-J11)/365</f>
        <v>118</v>
      </c>
      <c r="AC11" s="497" t="e">
        <f>(1-AB11/AA11)*100</f>
        <v>#DIV/0!</v>
      </c>
    </row>
    <row r="12" spans="1:29" s="138" customFormat="1" ht="15.75" customHeight="1">
      <c r="A12" s="482">
        <v>6</v>
      </c>
      <c r="B12" s="482"/>
      <c r="C12" s="494"/>
      <c r="D12" s="477"/>
      <c r="E12" s="475"/>
      <c r="F12" s="477"/>
      <c r="G12" s="579"/>
      <c r="H12" s="482"/>
      <c r="I12" s="580"/>
      <c r="J12" s="580"/>
      <c r="K12" s="581"/>
      <c r="L12" s="581"/>
      <c r="M12" s="581"/>
      <c r="N12" s="581"/>
      <c r="O12" s="581"/>
      <c r="P12" s="581"/>
      <c r="Q12" s="581"/>
      <c r="R12" s="585"/>
      <c r="S12" s="596"/>
      <c r="T12" s="585"/>
      <c r="U12" s="585"/>
      <c r="V12" s="477"/>
      <c r="W12" s="488"/>
      <c r="Y12" s="613"/>
      <c r="Z12" s="614"/>
      <c r="AA12" s="496"/>
      <c r="AB12" s="614"/>
      <c r="AC12" s="615"/>
    </row>
    <row r="13" spans="1:29" s="138" customFormat="1" ht="15.75" customHeight="1">
      <c r="A13" s="482">
        <v>7</v>
      </c>
      <c r="B13" s="482"/>
      <c r="C13" s="494"/>
      <c r="D13" s="477"/>
      <c r="E13" s="475"/>
      <c r="F13" s="477"/>
      <c r="G13" s="579"/>
      <c r="H13" s="482"/>
      <c r="I13" s="580"/>
      <c r="J13" s="580"/>
      <c r="K13" s="581"/>
      <c r="L13" s="581"/>
      <c r="M13" s="581"/>
      <c r="N13" s="581"/>
      <c r="O13" s="581"/>
      <c r="P13" s="581"/>
      <c r="Q13" s="581"/>
      <c r="R13" s="585"/>
      <c r="S13" s="596"/>
      <c r="T13" s="585"/>
      <c r="U13" s="585"/>
      <c r="V13" s="477"/>
      <c r="W13" s="488"/>
      <c r="Y13" s="613"/>
      <c r="Z13" s="614"/>
      <c r="AA13" s="496"/>
      <c r="AB13" s="614"/>
      <c r="AC13" s="615"/>
    </row>
    <row r="14" spans="1:29" s="138" customFormat="1" ht="15.75" customHeight="1">
      <c r="A14" s="482">
        <v>8</v>
      </c>
      <c r="B14" s="482"/>
      <c r="C14" s="494"/>
      <c r="D14" s="477"/>
      <c r="E14" s="475"/>
      <c r="F14" s="477"/>
      <c r="G14" s="579"/>
      <c r="H14" s="482"/>
      <c r="I14" s="580"/>
      <c r="J14" s="580"/>
      <c r="K14" s="581"/>
      <c r="L14" s="581"/>
      <c r="M14" s="581"/>
      <c r="N14" s="581"/>
      <c r="O14" s="581"/>
      <c r="P14" s="581"/>
      <c r="Q14" s="581"/>
      <c r="R14" s="585"/>
      <c r="S14" s="596"/>
      <c r="T14" s="585"/>
      <c r="U14" s="585"/>
      <c r="V14" s="477"/>
      <c r="W14" s="488"/>
      <c r="Y14" s="613"/>
      <c r="Z14" s="614"/>
      <c r="AA14" s="496"/>
      <c r="AB14" s="614"/>
      <c r="AC14" s="615"/>
    </row>
    <row r="15" spans="1:29" s="138" customFormat="1" ht="15.75" customHeight="1">
      <c r="A15" s="482">
        <v>9</v>
      </c>
      <c r="B15" s="482"/>
      <c r="C15" s="494"/>
      <c r="D15" s="477"/>
      <c r="E15" s="475"/>
      <c r="F15" s="477"/>
      <c r="G15" s="579"/>
      <c r="H15" s="482"/>
      <c r="I15" s="580"/>
      <c r="J15" s="580"/>
      <c r="K15" s="581"/>
      <c r="L15" s="581"/>
      <c r="M15" s="581"/>
      <c r="N15" s="581"/>
      <c r="O15" s="581"/>
      <c r="P15" s="581"/>
      <c r="Q15" s="581"/>
      <c r="R15" s="585"/>
      <c r="S15" s="596"/>
      <c r="T15" s="585"/>
      <c r="U15" s="585"/>
      <c r="V15" s="477"/>
      <c r="W15" s="488"/>
      <c r="Y15" s="613"/>
      <c r="Z15" s="614"/>
      <c r="AA15" s="496"/>
      <c r="AB15" s="614"/>
      <c r="AC15" s="615"/>
    </row>
    <row r="16" spans="1:29" s="138" customFormat="1" ht="15.75" customHeight="1">
      <c r="A16" s="482">
        <v>10</v>
      </c>
      <c r="B16" s="482"/>
      <c r="C16" s="494"/>
      <c r="D16" s="477"/>
      <c r="E16" s="475"/>
      <c r="F16" s="477"/>
      <c r="G16" s="579"/>
      <c r="H16" s="482"/>
      <c r="I16" s="580"/>
      <c r="J16" s="580"/>
      <c r="K16" s="581"/>
      <c r="L16" s="581"/>
      <c r="M16" s="581"/>
      <c r="N16" s="581"/>
      <c r="O16" s="581"/>
      <c r="P16" s="581"/>
      <c r="Q16" s="581"/>
      <c r="R16" s="585"/>
      <c r="S16" s="596"/>
      <c r="T16" s="585"/>
      <c r="U16" s="585"/>
      <c r="V16" s="477"/>
      <c r="W16" s="488"/>
      <c r="Y16" s="613"/>
      <c r="Z16" s="614"/>
      <c r="AA16" s="496"/>
      <c r="AB16" s="614"/>
      <c r="AC16" s="615"/>
    </row>
    <row r="17" spans="1:29" s="138" customFormat="1" ht="15.75" customHeight="1">
      <c r="A17" s="482">
        <v>11</v>
      </c>
      <c r="B17" s="482"/>
      <c r="C17" s="494"/>
      <c r="D17" s="477"/>
      <c r="E17" s="475"/>
      <c r="F17" s="477"/>
      <c r="G17" s="579"/>
      <c r="H17" s="482"/>
      <c r="I17" s="580"/>
      <c r="J17" s="580"/>
      <c r="K17" s="581"/>
      <c r="L17" s="581"/>
      <c r="M17" s="581"/>
      <c r="N17" s="581"/>
      <c r="O17" s="581"/>
      <c r="P17" s="581"/>
      <c r="Q17" s="581"/>
      <c r="R17" s="585"/>
      <c r="S17" s="596"/>
      <c r="T17" s="585"/>
      <c r="U17" s="585"/>
      <c r="V17" s="477"/>
      <c r="W17" s="488"/>
      <c r="Y17" s="613"/>
      <c r="Z17" s="614"/>
      <c r="AA17" s="496"/>
      <c r="AB17" s="614"/>
      <c r="AC17" s="615"/>
    </row>
    <row r="18" spans="1:29" s="138" customFormat="1" ht="15.75" customHeight="1">
      <c r="A18" s="482">
        <v>12</v>
      </c>
      <c r="B18" s="482"/>
      <c r="C18" s="494"/>
      <c r="D18" s="477"/>
      <c r="E18" s="475"/>
      <c r="F18" s="477"/>
      <c r="G18" s="579"/>
      <c r="H18" s="482"/>
      <c r="I18" s="580"/>
      <c r="J18" s="580"/>
      <c r="K18" s="581"/>
      <c r="L18" s="581"/>
      <c r="M18" s="581"/>
      <c r="N18" s="581"/>
      <c r="O18" s="581"/>
      <c r="P18" s="581"/>
      <c r="Q18" s="581"/>
      <c r="R18" s="585"/>
      <c r="S18" s="596"/>
      <c r="T18" s="585"/>
      <c r="U18" s="585"/>
      <c r="V18" s="477"/>
      <c r="W18" s="488"/>
      <c r="Y18" s="613"/>
      <c r="Z18" s="614"/>
      <c r="AA18" s="496"/>
      <c r="AB18" s="614"/>
      <c r="AC18" s="615"/>
    </row>
    <row r="19" spans="1:29" s="138" customFormat="1" ht="15.75" customHeight="1">
      <c r="A19" s="482">
        <v>13</v>
      </c>
      <c r="B19" s="482"/>
      <c r="C19" s="494"/>
      <c r="D19" s="477"/>
      <c r="E19" s="475"/>
      <c r="F19" s="477"/>
      <c r="G19" s="579"/>
      <c r="H19" s="482"/>
      <c r="I19" s="580"/>
      <c r="J19" s="580"/>
      <c r="K19" s="581"/>
      <c r="L19" s="581"/>
      <c r="M19" s="581"/>
      <c r="N19" s="581"/>
      <c r="O19" s="581"/>
      <c r="P19" s="581"/>
      <c r="Q19" s="581"/>
      <c r="R19" s="585"/>
      <c r="S19" s="596"/>
      <c r="T19" s="585"/>
      <c r="U19" s="585"/>
      <c r="V19" s="477"/>
      <c r="W19" s="488"/>
      <c r="Y19" s="613"/>
      <c r="Z19" s="614"/>
      <c r="AA19" s="496"/>
      <c r="AB19" s="614"/>
      <c r="AC19" s="615"/>
    </row>
    <row r="20" spans="1:29" s="138" customFormat="1" ht="15.75" customHeight="1">
      <c r="A20" s="482">
        <v>14</v>
      </c>
      <c r="B20" s="482"/>
      <c r="C20" s="494"/>
      <c r="D20" s="477"/>
      <c r="E20" s="475"/>
      <c r="F20" s="477"/>
      <c r="G20" s="579"/>
      <c r="H20" s="482"/>
      <c r="I20" s="580"/>
      <c r="J20" s="580"/>
      <c r="K20" s="581"/>
      <c r="L20" s="581"/>
      <c r="M20" s="581"/>
      <c r="N20" s="581"/>
      <c r="O20" s="581"/>
      <c r="P20" s="581"/>
      <c r="Q20" s="581"/>
      <c r="R20" s="585"/>
      <c r="S20" s="596"/>
      <c r="T20" s="585"/>
      <c r="U20" s="585"/>
      <c r="V20" s="477"/>
      <c r="W20" s="488"/>
      <c r="Y20" s="613"/>
      <c r="Z20" s="614"/>
      <c r="AA20" s="496"/>
      <c r="AB20" s="614"/>
      <c r="AC20" s="615"/>
    </row>
    <row r="21" spans="1:29" s="138" customFormat="1" ht="15.75" customHeight="1">
      <c r="A21" s="482">
        <v>15</v>
      </c>
      <c r="B21" s="482"/>
      <c r="C21" s="494"/>
      <c r="D21" s="477"/>
      <c r="E21" s="475"/>
      <c r="F21" s="477"/>
      <c r="G21" s="579"/>
      <c r="H21" s="482"/>
      <c r="I21" s="580"/>
      <c r="J21" s="580"/>
      <c r="K21" s="581"/>
      <c r="L21" s="581"/>
      <c r="M21" s="581"/>
      <c r="N21" s="581"/>
      <c r="O21" s="581"/>
      <c r="P21" s="581"/>
      <c r="Q21" s="581"/>
      <c r="R21" s="585"/>
      <c r="S21" s="596"/>
      <c r="T21" s="585"/>
      <c r="U21" s="585"/>
      <c r="V21" s="477"/>
      <c r="W21" s="488"/>
      <c r="Y21" s="613"/>
      <c r="Z21" s="614"/>
      <c r="AA21" s="496"/>
      <c r="AB21" s="614"/>
      <c r="AC21" s="615"/>
    </row>
    <row r="22" spans="1:29" s="138" customFormat="1" ht="15.75" customHeight="1">
      <c r="A22" s="482">
        <v>16</v>
      </c>
      <c r="B22" s="482"/>
      <c r="C22" s="494"/>
      <c r="D22" s="477"/>
      <c r="E22" s="475"/>
      <c r="F22" s="477"/>
      <c r="G22" s="579"/>
      <c r="H22" s="482"/>
      <c r="I22" s="580"/>
      <c r="J22" s="580"/>
      <c r="K22" s="581"/>
      <c r="L22" s="581"/>
      <c r="M22" s="581"/>
      <c r="N22" s="581"/>
      <c r="O22" s="581"/>
      <c r="P22" s="581"/>
      <c r="Q22" s="581"/>
      <c r="R22" s="585"/>
      <c r="S22" s="596"/>
      <c r="T22" s="585"/>
      <c r="U22" s="585"/>
      <c r="V22" s="477"/>
      <c r="W22" s="488"/>
      <c r="Y22" s="613"/>
      <c r="Z22" s="614"/>
      <c r="AA22" s="496"/>
      <c r="AB22" s="614"/>
      <c r="AC22" s="615"/>
    </row>
    <row r="23" spans="1:29" s="138" customFormat="1" ht="15.75" customHeight="1">
      <c r="A23" s="482">
        <v>17</v>
      </c>
      <c r="B23" s="482"/>
      <c r="C23" s="494"/>
      <c r="D23" s="477"/>
      <c r="E23" s="475"/>
      <c r="F23" s="477"/>
      <c r="G23" s="579"/>
      <c r="H23" s="482"/>
      <c r="I23" s="580"/>
      <c r="J23" s="580"/>
      <c r="K23" s="581"/>
      <c r="L23" s="581"/>
      <c r="M23" s="581"/>
      <c r="N23" s="581"/>
      <c r="O23" s="581"/>
      <c r="P23" s="581"/>
      <c r="Q23" s="581"/>
      <c r="R23" s="585"/>
      <c r="S23" s="596"/>
      <c r="T23" s="585"/>
      <c r="U23" s="585"/>
      <c r="V23" s="477"/>
      <c r="W23" s="488"/>
      <c r="Y23" s="613"/>
      <c r="Z23" s="614"/>
      <c r="AA23" s="496"/>
      <c r="AB23" s="614"/>
      <c r="AC23" s="615"/>
    </row>
    <row r="24" spans="1:29" s="138" customFormat="1" ht="15.75" customHeight="1">
      <c r="A24" s="482">
        <v>18</v>
      </c>
      <c r="B24" s="482"/>
      <c r="C24" s="494"/>
      <c r="D24" s="477"/>
      <c r="E24" s="475"/>
      <c r="F24" s="477"/>
      <c r="G24" s="579"/>
      <c r="H24" s="482"/>
      <c r="I24" s="580"/>
      <c r="J24" s="580"/>
      <c r="K24" s="581"/>
      <c r="L24" s="581"/>
      <c r="M24" s="581"/>
      <c r="N24" s="581"/>
      <c r="O24" s="581"/>
      <c r="P24" s="581"/>
      <c r="Q24" s="581"/>
      <c r="R24" s="585"/>
      <c r="S24" s="596"/>
      <c r="T24" s="585"/>
      <c r="U24" s="585"/>
      <c r="V24" s="477"/>
      <c r="W24" s="488"/>
      <c r="Y24" s="613"/>
      <c r="Z24" s="614"/>
      <c r="AA24" s="496"/>
      <c r="AB24" s="614"/>
      <c r="AC24" s="615"/>
    </row>
    <row r="25" spans="1:29" s="138" customFormat="1" ht="15.75" customHeight="1">
      <c r="A25" s="482">
        <v>19</v>
      </c>
      <c r="B25" s="482"/>
      <c r="C25" s="494"/>
      <c r="D25" s="477"/>
      <c r="E25" s="475"/>
      <c r="F25" s="477"/>
      <c r="G25" s="579"/>
      <c r="H25" s="482"/>
      <c r="I25" s="580"/>
      <c r="J25" s="580"/>
      <c r="K25" s="581"/>
      <c r="L25" s="581"/>
      <c r="M25" s="581"/>
      <c r="N25" s="581"/>
      <c r="O25" s="581"/>
      <c r="P25" s="581"/>
      <c r="Q25" s="581"/>
      <c r="R25" s="585"/>
      <c r="S25" s="596"/>
      <c r="T25" s="585"/>
      <c r="U25" s="585"/>
      <c r="V25" s="477"/>
      <c r="W25" s="488"/>
      <c r="Y25" s="613"/>
      <c r="Z25" s="614"/>
      <c r="AA25" s="496"/>
      <c r="AB25" s="614"/>
      <c r="AC25" s="615"/>
    </row>
    <row r="26" spans="1:29" s="138" customFormat="1" ht="15.75" customHeight="1">
      <c r="A26" s="482">
        <v>20</v>
      </c>
      <c r="B26" s="482"/>
      <c r="C26" s="494"/>
      <c r="D26" s="477"/>
      <c r="E26" s="475"/>
      <c r="F26" s="477"/>
      <c r="G26" s="579"/>
      <c r="H26" s="482"/>
      <c r="I26" s="580"/>
      <c r="J26" s="580"/>
      <c r="K26" s="581"/>
      <c r="L26" s="581"/>
      <c r="M26" s="581"/>
      <c r="N26" s="581"/>
      <c r="O26" s="581"/>
      <c r="P26" s="581"/>
      <c r="Q26" s="581"/>
      <c r="R26" s="585"/>
      <c r="S26" s="596"/>
      <c r="T26" s="585"/>
      <c r="U26" s="585"/>
      <c r="V26" s="477"/>
      <c r="W26" s="488"/>
      <c r="Y26" s="613"/>
      <c r="Z26" s="614"/>
      <c r="AA26" s="496"/>
      <c r="AB26" s="614"/>
      <c r="AC26" s="615"/>
    </row>
    <row r="27" spans="1:29" s="138" customFormat="1" ht="15.75" customHeight="1">
      <c r="A27" s="482">
        <v>21</v>
      </c>
      <c r="B27" s="482"/>
      <c r="C27" s="494"/>
      <c r="D27" s="477"/>
      <c r="E27" s="475"/>
      <c r="F27" s="477"/>
      <c r="G27" s="579"/>
      <c r="H27" s="482"/>
      <c r="I27" s="580"/>
      <c r="J27" s="580"/>
      <c r="K27" s="581"/>
      <c r="L27" s="581"/>
      <c r="M27" s="581"/>
      <c r="N27" s="581"/>
      <c r="O27" s="581"/>
      <c r="P27" s="581"/>
      <c r="Q27" s="581"/>
      <c r="R27" s="585"/>
      <c r="S27" s="596"/>
      <c r="T27" s="585"/>
      <c r="U27" s="585"/>
      <c r="V27" s="477"/>
      <c r="W27" s="488"/>
      <c r="Y27" s="613"/>
      <c r="Z27" s="614"/>
      <c r="AA27" s="496"/>
      <c r="AB27" s="614"/>
      <c r="AC27" s="615"/>
    </row>
    <row r="28" spans="1:29" s="138" customFormat="1" ht="15.75" customHeight="1">
      <c r="A28" s="482">
        <v>22</v>
      </c>
      <c r="B28" s="482"/>
      <c r="C28" s="494"/>
      <c r="D28" s="477"/>
      <c r="E28" s="475"/>
      <c r="F28" s="477"/>
      <c r="G28" s="579"/>
      <c r="H28" s="482"/>
      <c r="I28" s="580"/>
      <c r="J28" s="580"/>
      <c r="K28" s="581"/>
      <c r="L28" s="581"/>
      <c r="M28" s="581"/>
      <c r="N28" s="581"/>
      <c r="O28" s="581"/>
      <c r="P28" s="581"/>
      <c r="Q28" s="581"/>
      <c r="R28" s="585"/>
      <c r="S28" s="596"/>
      <c r="T28" s="585"/>
      <c r="U28" s="585"/>
      <c r="V28" s="477"/>
      <c r="W28" s="488"/>
      <c r="Y28" s="613"/>
      <c r="Z28" s="614"/>
      <c r="AA28" s="496"/>
      <c r="AB28" s="614"/>
      <c r="AC28" s="615"/>
    </row>
    <row r="29" spans="1:29" s="138" customFormat="1" ht="15.75" customHeight="1">
      <c r="A29" s="482">
        <v>23</v>
      </c>
      <c r="B29" s="482"/>
      <c r="C29" s="494"/>
      <c r="D29" s="477"/>
      <c r="E29" s="475"/>
      <c r="F29" s="477"/>
      <c r="G29" s="579"/>
      <c r="H29" s="482"/>
      <c r="I29" s="580"/>
      <c r="J29" s="580"/>
      <c r="K29" s="581"/>
      <c r="L29" s="581"/>
      <c r="M29" s="581"/>
      <c r="N29" s="581"/>
      <c r="O29" s="581"/>
      <c r="P29" s="581"/>
      <c r="Q29" s="581"/>
      <c r="R29" s="585"/>
      <c r="S29" s="596"/>
      <c r="T29" s="585"/>
      <c r="U29" s="585"/>
      <c r="V29" s="477"/>
      <c r="W29" s="488"/>
      <c r="Y29" s="613"/>
      <c r="Z29" s="614"/>
      <c r="AA29" s="496"/>
      <c r="AB29" s="614"/>
      <c r="AC29" s="615"/>
    </row>
    <row r="30" spans="1:29" s="138" customFormat="1" ht="15.75" customHeight="1">
      <c r="A30" s="482">
        <v>24</v>
      </c>
      <c r="B30" s="482"/>
      <c r="C30" s="494"/>
      <c r="D30" s="477"/>
      <c r="E30" s="475"/>
      <c r="F30" s="477"/>
      <c r="G30" s="579"/>
      <c r="H30" s="482"/>
      <c r="I30" s="580"/>
      <c r="J30" s="580"/>
      <c r="K30" s="581"/>
      <c r="L30" s="581"/>
      <c r="M30" s="581"/>
      <c r="N30" s="581"/>
      <c r="O30" s="581"/>
      <c r="P30" s="581"/>
      <c r="Q30" s="581"/>
      <c r="R30" s="585"/>
      <c r="S30" s="596"/>
      <c r="T30" s="585"/>
      <c r="U30" s="585"/>
      <c r="V30" s="477"/>
      <c r="W30" s="488"/>
      <c r="Y30" s="613"/>
      <c r="Z30" s="614"/>
      <c r="AA30" s="496"/>
      <c r="AB30" s="614"/>
      <c r="AC30" s="615"/>
    </row>
    <row r="31" spans="1:29" s="138" customFormat="1" ht="15.75" customHeight="1">
      <c r="A31" s="482">
        <v>25</v>
      </c>
      <c r="B31" s="482"/>
      <c r="C31" s="494"/>
      <c r="D31" s="477"/>
      <c r="E31" s="475"/>
      <c r="F31" s="477"/>
      <c r="G31" s="579"/>
      <c r="H31" s="482"/>
      <c r="I31" s="580"/>
      <c r="J31" s="580"/>
      <c r="K31" s="581"/>
      <c r="L31" s="581"/>
      <c r="M31" s="581"/>
      <c r="N31" s="581"/>
      <c r="O31" s="581"/>
      <c r="P31" s="581"/>
      <c r="Q31" s="581"/>
      <c r="R31" s="585"/>
      <c r="S31" s="596"/>
      <c r="T31" s="585"/>
      <c r="U31" s="585"/>
      <c r="V31" s="477"/>
      <c r="W31" s="488"/>
      <c r="Y31" s="613"/>
      <c r="Z31" s="614"/>
      <c r="AA31" s="496"/>
      <c r="AB31" s="614"/>
      <c r="AC31" s="615"/>
    </row>
    <row r="32" spans="1:29" s="138" customFormat="1" ht="15.75" customHeight="1">
      <c r="A32" s="482">
        <v>26</v>
      </c>
      <c r="B32" s="482"/>
      <c r="C32" s="494"/>
      <c r="D32" s="477"/>
      <c r="E32" s="475"/>
      <c r="F32" s="477"/>
      <c r="G32" s="579"/>
      <c r="H32" s="482"/>
      <c r="I32" s="580"/>
      <c r="J32" s="580"/>
      <c r="K32" s="581"/>
      <c r="L32" s="581"/>
      <c r="M32" s="581"/>
      <c r="N32" s="581"/>
      <c r="O32" s="581"/>
      <c r="P32" s="581"/>
      <c r="Q32" s="581"/>
      <c r="R32" s="585"/>
      <c r="S32" s="596"/>
      <c r="T32" s="585"/>
      <c r="U32" s="585"/>
      <c r="V32" s="477"/>
      <c r="W32" s="488"/>
      <c r="Y32" s="613"/>
      <c r="Z32" s="614"/>
      <c r="AA32" s="496"/>
      <c r="AB32" s="614"/>
      <c r="AC32" s="615"/>
    </row>
    <row r="33" spans="1:29" s="138" customFormat="1" ht="15.75" customHeight="1">
      <c r="A33" s="482">
        <v>27</v>
      </c>
      <c r="B33" s="482"/>
      <c r="C33" s="494"/>
      <c r="D33" s="477"/>
      <c r="E33" s="475"/>
      <c r="F33" s="477"/>
      <c r="G33" s="579"/>
      <c r="H33" s="482"/>
      <c r="I33" s="580"/>
      <c r="J33" s="580"/>
      <c r="K33" s="581"/>
      <c r="L33" s="581"/>
      <c r="M33" s="581"/>
      <c r="N33" s="581"/>
      <c r="O33" s="581"/>
      <c r="P33" s="581"/>
      <c r="Q33" s="581"/>
      <c r="R33" s="585"/>
      <c r="S33" s="596"/>
      <c r="T33" s="585"/>
      <c r="U33" s="585"/>
      <c r="V33" s="477"/>
      <c r="W33" s="488"/>
      <c r="Y33" s="613"/>
      <c r="Z33" s="614"/>
      <c r="AA33" s="496"/>
      <c r="AB33" s="614"/>
      <c r="AC33" s="615"/>
    </row>
    <row r="34" spans="1:29" s="138" customFormat="1" ht="15.75" customHeight="1">
      <c r="A34" s="482">
        <v>28</v>
      </c>
      <c r="B34" s="482"/>
      <c r="C34" s="494"/>
      <c r="D34" s="477"/>
      <c r="E34" s="475"/>
      <c r="F34" s="477"/>
      <c r="G34" s="579"/>
      <c r="H34" s="482"/>
      <c r="I34" s="580"/>
      <c r="J34" s="580"/>
      <c r="K34" s="581"/>
      <c r="L34" s="581"/>
      <c r="M34" s="581"/>
      <c r="N34" s="581"/>
      <c r="O34" s="581"/>
      <c r="P34" s="581"/>
      <c r="Q34" s="581"/>
      <c r="R34" s="585"/>
      <c r="S34" s="596"/>
      <c r="T34" s="585"/>
      <c r="U34" s="585"/>
      <c r="V34" s="477"/>
      <c r="W34" s="488"/>
      <c r="Y34" s="613"/>
      <c r="Z34" s="614"/>
      <c r="AA34" s="496"/>
      <c r="AB34" s="614"/>
      <c r="AC34" s="615"/>
    </row>
    <row r="35" spans="1:29" s="138" customFormat="1" ht="15.75" customHeight="1">
      <c r="A35" s="482">
        <v>29</v>
      </c>
      <c r="B35" s="482"/>
      <c r="C35" s="494"/>
      <c r="D35" s="477"/>
      <c r="E35" s="475"/>
      <c r="F35" s="477"/>
      <c r="G35" s="579"/>
      <c r="H35" s="482"/>
      <c r="I35" s="580"/>
      <c r="J35" s="580"/>
      <c r="K35" s="581"/>
      <c r="L35" s="581"/>
      <c r="M35" s="581"/>
      <c r="N35" s="581"/>
      <c r="O35" s="581"/>
      <c r="P35" s="581"/>
      <c r="Q35" s="581"/>
      <c r="R35" s="585"/>
      <c r="S35" s="596"/>
      <c r="T35" s="585"/>
      <c r="U35" s="585"/>
      <c r="V35" s="477"/>
      <c r="W35" s="488"/>
      <c r="Y35" s="613"/>
      <c r="Z35" s="614"/>
      <c r="AA35" s="496"/>
      <c r="AB35" s="614"/>
      <c r="AC35" s="615"/>
    </row>
    <row r="36" spans="1:29" s="138" customFormat="1" ht="15.75" customHeight="1">
      <c r="A36" s="482">
        <v>30</v>
      </c>
      <c r="B36" s="482"/>
      <c r="C36" s="494"/>
      <c r="D36" s="477"/>
      <c r="E36" s="475"/>
      <c r="F36" s="477"/>
      <c r="G36" s="579"/>
      <c r="H36" s="482"/>
      <c r="I36" s="580"/>
      <c r="J36" s="580"/>
      <c r="K36" s="581"/>
      <c r="L36" s="581"/>
      <c r="M36" s="581"/>
      <c r="N36" s="581"/>
      <c r="O36" s="581"/>
      <c r="P36" s="581"/>
      <c r="Q36" s="581"/>
      <c r="R36" s="585"/>
      <c r="S36" s="596"/>
      <c r="T36" s="585"/>
      <c r="U36" s="585"/>
      <c r="V36" s="477"/>
      <c r="W36" s="488"/>
      <c r="Y36" s="613"/>
      <c r="Z36" s="614"/>
      <c r="AA36" s="496"/>
      <c r="AB36" s="614"/>
      <c r="AC36" s="615"/>
    </row>
    <row r="37" spans="1:29" s="138" customFormat="1" ht="15.75" customHeight="1">
      <c r="A37" s="482">
        <v>31</v>
      </c>
      <c r="B37" s="482"/>
      <c r="C37" s="494"/>
      <c r="D37" s="477"/>
      <c r="E37" s="475"/>
      <c r="F37" s="477"/>
      <c r="G37" s="579"/>
      <c r="H37" s="482"/>
      <c r="I37" s="580"/>
      <c r="J37" s="580"/>
      <c r="K37" s="581"/>
      <c r="L37" s="581"/>
      <c r="M37" s="581"/>
      <c r="N37" s="581"/>
      <c r="O37" s="581"/>
      <c r="P37" s="581"/>
      <c r="Q37" s="581"/>
      <c r="R37" s="585"/>
      <c r="S37" s="596"/>
      <c r="T37" s="585"/>
      <c r="U37" s="585"/>
      <c r="V37" s="477"/>
      <c r="W37" s="488"/>
      <c r="Y37" s="613"/>
      <c r="Z37" s="614"/>
      <c r="AA37" s="496"/>
      <c r="AB37" s="614"/>
      <c r="AC37" s="615"/>
    </row>
    <row r="38" spans="1:29" s="138" customFormat="1" ht="15.75" customHeight="1">
      <c r="A38" s="482">
        <v>32</v>
      </c>
      <c r="B38" s="482"/>
      <c r="C38" s="494"/>
      <c r="D38" s="477"/>
      <c r="E38" s="475"/>
      <c r="F38" s="477"/>
      <c r="G38" s="579"/>
      <c r="H38" s="482"/>
      <c r="I38" s="580"/>
      <c r="J38" s="580"/>
      <c r="K38" s="581"/>
      <c r="L38" s="581"/>
      <c r="M38" s="581"/>
      <c r="N38" s="581"/>
      <c r="O38" s="581"/>
      <c r="P38" s="581"/>
      <c r="Q38" s="581"/>
      <c r="R38" s="585"/>
      <c r="S38" s="596"/>
      <c r="T38" s="585"/>
      <c r="U38" s="585"/>
      <c r="V38" s="477"/>
      <c r="W38" s="488"/>
      <c r="Y38" s="613"/>
      <c r="Z38" s="614"/>
      <c r="AA38" s="496"/>
      <c r="AB38" s="614"/>
      <c r="AC38" s="615"/>
    </row>
    <row r="39" spans="1:29" s="138" customFormat="1" ht="15.75" customHeight="1">
      <c r="A39" s="482">
        <v>33</v>
      </c>
      <c r="B39" s="482"/>
      <c r="C39" s="494"/>
      <c r="D39" s="477"/>
      <c r="E39" s="475"/>
      <c r="F39" s="477"/>
      <c r="G39" s="579"/>
      <c r="H39" s="482"/>
      <c r="I39" s="580"/>
      <c r="J39" s="580"/>
      <c r="K39" s="581"/>
      <c r="L39" s="581"/>
      <c r="M39" s="581"/>
      <c r="N39" s="581"/>
      <c r="O39" s="581"/>
      <c r="P39" s="581"/>
      <c r="Q39" s="581"/>
      <c r="R39" s="585"/>
      <c r="S39" s="596"/>
      <c r="T39" s="585"/>
      <c r="U39" s="585"/>
      <c r="V39" s="477"/>
      <c r="W39" s="488"/>
      <c r="Y39" s="613"/>
      <c r="Z39" s="614"/>
      <c r="AA39" s="496"/>
      <c r="AB39" s="614"/>
      <c r="AC39" s="615"/>
    </row>
    <row r="40" spans="1:29" s="138" customFormat="1" ht="15.75" customHeight="1">
      <c r="A40" s="482">
        <v>34</v>
      </c>
      <c r="B40" s="482"/>
      <c r="C40" s="494"/>
      <c r="D40" s="477"/>
      <c r="E40" s="475"/>
      <c r="F40" s="477"/>
      <c r="G40" s="579"/>
      <c r="H40" s="482"/>
      <c r="I40" s="580"/>
      <c r="J40" s="580"/>
      <c r="K40" s="581"/>
      <c r="L40" s="581"/>
      <c r="M40" s="581"/>
      <c r="N40" s="581"/>
      <c r="O40" s="581"/>
      <c r="P40" s="581"/>
      <c r="Q40" s="581"/>
      <c r="R40" s="585"/>
      <c r="S40" s="596"/>
      <c r="T40" s="585"/>
      <c r="U40" s="585"/>
      <c r="V40" s="477"/>
      <c r="W40" s="488"/>
      <c r="Y40" s="613"/>
      <c r="Z40" s="614"/>
      <c r="AA40" s="496"/>
      <c r="AB40" s="614"/>
      <c r="AC40" s="615"/>
    </row>
    <row r="41" spans="1:29" s="138" customFormat="1" ht="15.75" customHeight="1">
      <c r="A41" s="482">
        <v>35</v>
      </c>
      <c r="B41" s="482"/>
      <c r="C41" s="494"/>
      <c r="D41" s="477"/>
      <c r="E41" s="475"/>
      <c r="F41" s="477"/>
      <c r="G41" s="579"/>
      <c r="H41" s="482"/>
      <c r="I41" s="580"/>
      <c r="J41" s="580"/>
      <c r="K41" s="581"/>
      <c r="L41" s="581"/>
      <c r="M41" s="581"/>
      <c r="N41" s="581"/>
      <c r="O41" s="581"/>
      <c r="P41" s="581"/>
      <c r="Q41" s="581"/>
      <c r="R41" s="585"/>
      <c r="S41" s="596"/>
      <c r="T41" s="585"/>
      <c r="U41" s="585"/>
      <c r="V41" s="477"/>
      <c r="W41" s="488"/>
      <c r="Y41" s="613"/>
      <c r="Z41" s="614"/>
      <c r="AA41" s="496"/>
      <c r="AB41" s="614"/>
      <c r="AC41" s="615"/>
    </row>
    <row r="42" spans="1:29" s="138" customFormat="1" ht="15.75" customHeight="1">
      <c r="A42" s="482">
        <v>36</v>
      </c>
      <c r="B42" s="482"/>
      <c r="C42" s="494"/>
      <c r="D42" s="477"/>
      <c r="E42" s="475"/>
      <c r="F42" s="477"/>
      <c r="G42" s="579"/>
      <c r="H42" s="482"/>
      <c r="I42" s="580"/>
      <c r="J42" s="580"/>
      <c r="K42" s="581"/>
      <c r="L42" s="581"/>
      <c r="M42" s="581"/>
      <c r="N42" s="581"/>
      <c r="O42" s="581"/>
      <c r="P42" s="581"/>
      <c r="Q42" s="581"/>
      <c r="R42" s="585"/>
      <c r="S42" s="596"/>
      <c r="T42" s="585"/>
      <c r="U42" s="585"/>
      <c r="V42" s="477"/>
      <c r="W42" s="488"/>
      <c r="Y42" s="613"/>
      <c r="Z42" s="614"/>
      <c r="AA42" s="496"/>
      <c r="AB42" s="614"/>
      <c r="AC42" s="615"/>
    </row>
    <row r="43" spans="1:29" s="138" customFormat="1" ht="15.75" customHeight="1">
      <c r="A43" s="482">
        <v>37</v>
      </c>
      <c r="B43" s="482"/>
      <c r="C43" s="494"/>
      <c r="D43" s="477"/>
      <c r="E43" s="475"/>
      <c r="F43" s="477"/>
      <c r="G43" s="579"/>
      <c r="H43" s="482"/>
      <c r="I43" s="580"/>
      <c r="J43" s="580"/>
      <c r="K43" s="581"/>
      <c r="L43" s="581"/>
      <c r="M43" s="581"/>
      <c r="N43" s="581"/>
      <c r="O43" s="581"/>
      <c r="P43" s="581"/>
      <c r="Q43" s="581"/>
      <c r="R43" s="585"/>
      <c r="S43" s="596"/>
      <c r="T43" s="585"/>
      <c r="U43" s="585"/>
      <c r="V43" s="477"/>
      <c r="W43" s="488"/>
      <c r="Y43" s="613"/>
      <c r="Z43" s="614"/>
      <c r="AA43" s="496"/>
      <c r="AB43" s="614"/>
      <c r="AC43" s="615"/>
    </row>
    <row r="44" spans="1:29" s="138" customFormat="1" ht="15.75" customHeight="1">
      <c r="A44" s="482">
        <v>38</v>
      </c>
      <c r="B44" s="482"/>
      <c r="C44" s="494"/>
      <c r="D44" s="477"/>
      <c r="E44" s="475"/>
      <c r="F44" s="477"/>
      <c r="G44" s="579"/>
      <c r="H44" s="482"/>
      <c r="I44" s="580"/>
      <c r="J44" s="580"/>
      <c r="K44" s="581"/>
      <c r="L44" s="581"/>
      <c r="M44" s="581"/>
      <c r="N44" s="581"/>
      <c r="O44" s="581"/>
      <c r="P44" s="581"/>
      <c r="Q44" s="581"/>
      <c r="R44" s="585"/>
      <c r="S44" s="596"/>
      <c r="T44" s="585"/>
      <c r="U44" s="585"/>
      <c r="V44" s="477"/>
      <c r="W44" s="488"/>
      <c r="Y44" s="613"/>
      <c r="Z44" s="614"/>
      <c r="AA44" s="496"/>
      <c r="AB44" s="614"/>
      <c r="AC44" s="615"/>
    </row>
    <row r="45" spans="1:29" s="138" customFormat="1" ht="15.75" customHeight="1">
      <c r="A45" s="482">
        <v>39</v>
      </c>
      <c r="B45" s="482"/>
      <c r="C45" s="494"/>
      <c r="D45" s="477"/>
      <c r="E45" s="475"/>
      <c r="F45" s="477"/>
      <c r="G45" s="579"/>
      <c r="H45" s="482"/>
      <c r="I45" s="580"/>
      <c r="J45" s="580"/>
      <c r="K45" s="581"/>
      <c r="L45" s="581"/>
      <c r="M45" s="581"/>
      <c r="N45" s="581"/>
      <c r="O45" s="581"/>
      <c r="P45" s="581"/>
      <c r="Q45" s="581"/>
      <c r="R45" s="585"/>
      <c r="S45" s="596"/>
      <c r="T45" s="585"/>
      <c r="U45" s="585"/>
      <c r="V45" s="477"/>
      <c r="W45" s="488"/>
      <c r="Y45" s="613"/>
      <c r="Z45" s="614"/>
      <c r="AA45" s="496"/>
      <c r="AB45" s="614"/>
      <c r="AC45" s="615"/>
    </row>
    <row r="46" spans="1:29" s="138" customFormat="1" ht="15.75" customHeight="1">
      <c r="A46" s="482">
        <v>40</v>
      </c>
      <c r="B46" s="482"/>
      <c r="C46" s="494"/>
      <c r="D46" s="477"/>
      <c r="E46" s="475"/>
      <c r="F46" s="477"/>
      <c r="G46" s="579"/>
      <c r="H46" s="482"/>
      <c r="I46" s="580"/>
      <c r="J46" s="580"/>
      <c r="K46" s="581"/>
      <c r="L46" s="581"/>
      <c r="M46" s="581"/>
      <c r="N46" s="581"/>
      <c r="O46" s="581"/>
      <c r="P46" s="581"/>
      <c r="Q46" s="581"/>
      <c r="R46" s="585"/>
      <c r="S46" s="596"/>
      <c r="T46" s="585"/>
      <c r="U46" s="585"/>
      <c r="V46" s="477"/>
      <c r="W46" s="488"/>
      <c r="Y46" s="613"/>
      <c r="Z46" s="614"/>
      <c r="AA46" s="496"/>
      <c r="AB46" s="614"/>
      <c r="AC46" s="615"/>
    </row>
    <row r="47" spans="1:29" s="138" customFormat="1" ht="15.75" customHeight="1">
      <c r="A47" s="482">
        <v>41</v>
      </c>
      <c r="B47" s="482"/>
      <c r="C47" s="494"/>
      <c r="D47" s="477"/>
      <c r="E47" s="475"/>
      <c r="F47" s="477"/>
      <c r="G47" s="579"/>
      <c r="H47" s="482"/>
      <c r="I47" s="580"/>
      <c r="J47" s="580"/>
      <c r="K47" s="581"/>
      <c r="L47" s="581"/>
      <c r="M47" s="581"/>
      <c r="N47" s="581"/>
      <c r="O47" s="581"/>
      <c r="P47" s="581"/>
      <c r="Q47" s="581"/>
      <c r="R47" s="585"/>
      <c r="S47" s="596"/>
      <c r="T47" s="585"/>
      <c r="U47" s="585"/>
      <c r="V47" s="477"/>
      <c r="W47" s="488"/>
      <c r="Y47" s="613"/>
      <c r="Z47" s="614"/>
      <c r="AA47" s="496"/>
      <c r="AB47" s="614"/>
      <c r="AC47" s="615"/>
    </row>
    <row r="48" spans="1:29" s="138" customFormat="1" ht="15.75" customHeight="1">
      <c r="A48" s="482">
        <v>42</v>
      </c>
      <c r="B48" s="482"/>
      <c r="C48" s="494"/>
      <c r="D48" s="477"/>
      <c r="E48" s="475"/>
      <c r="F48" s="477"/>
      <c r="G48" s="579"/>
      <c r="H48" s="482"/>
      <c r="I48" s="580"/>
      <c r="J48" s="580"/>
      <c r="K48" s="581"/>
      <c r="L48" s="581"/>
      <c r="M48" s="581"/>
      <c r="N48" s="581"/>
      <c r="O48" s="581"/>
      <c r="P48" s="581"/>
      <c r="Q48" s="581"/>
      <c r="R48" s="585"/>
      <c r="S48" s="596"/>
      <c r="T48" s="585"/>
      <c r="U48" s="585"/>
      <c r="V48" s="477"/>
      <c r="W48" s="488"/>
      <c r="Y48" s="613"/>
      <c r="Z48" s="614"/>
      <c r="AA48" s="496"/>
      <c r="AB48" s="614"/>
      <c r="AC48" s="615"/>
    </row>
    <row r="49" spans="1:29" s="138" customFormat="1" ht="15.75" customHeight="1">
      <c r="A49" s="482">
        <v>43</v>
      </c>
      <c r="B49" s="482"/>
      <c r="C49" s="494"/>
      <c r="D49" s="477"/>
      <c r="E49" s="475"/>
      <c r="F49" s="477"/>
      <c r="G49" s="579"/>
      <c r="H49" s="482"/>
      <c r="I49" s="580"/>
      <c r="J49" s="580"/>
      <c r="K49" s="581"/>
      <c r="L49" s="581"/>
      <c r="M49" s="581"/>
      <c r="N49" s="581"/>
      <c r="O49" s="581"/>
      <c r="P49" s="581"/>
      <c r="Q49" s="581"/>
      <c r="R49" s="585"/>
      <c r="S49" s="596"/>
      <c r="T49" s="585"/>
      <c r="U49" s="585"/>
      <c r="V49" s="477"/>
      <c r="W49" s="488"/>
      <c r="Y49" s="613"/>
      <c r="Z49" s="614"/>
      <c r="AA49" s="496"/>
      <c r="AB49" s="614"/>
      <c r="AC49" s="615"/>
    </row>
    <row r="50" spans="1:29" s="138" customFormat="1" ht="15.75" customHeight="1">
      <c r="A50" s="482">
        <v>44</v>
      </c>
      <c r="B50" s="482"/>
      <c r="C50" s="494"/>
      <c r="D50" s="477"/>
      <c r="E50" s="475"/>
      <c r="F50" s="477"/>
      <c r="G50" s="579"/>
      <c r="H50" s="482"/>
      <c r="I50" s="580"/>
      <c r="J50" s="580"/>
      <c r="K50" s="581"/>
      <c r="L50" s="581"/>
      <c r="M50" s="581"/>
      <c r="N50" s="581"/>
      <c r="O50" s="581"/>
      <c r="P50" s="581"/>
      <c r="Q50" s="581"/>
      <c r="R50" s="585"/>
      <c r="S50" s="596"/>
      <c r="T50" s="585"/>
      <c r="U50" s="585"/>
      <c r="V50" s="477"/>
      <c r="W50" s="488"/>
      <c r="Y50" s="613"/>
      <c r="Z50" s="614"/>
      <c r="AA50" s="496"/>
      <c r="AB50" s="614"/>
      <c r="AC50" s="615"/>
    </row>
    <row r="51" spans="1:29" s="138" customFormat="1" ht="15.75" customHeight="1">
      <c r="A51" s="482">
        <v>45</v>
      </c>
      <c r="B51" s="482"/>
      <c r="C51" s="494"/>
      <c r="D51" s="477"/>
      <c r="E51" s="475"/>
      <c r="F51" s="477"/>
      <c r="G51" s="579"/>
      <c r="H51" s="482"/>
      <c r="I51" s="580"/>
      <c r="J51" s="580"/>
      <c r="K51" s="581"/>
      <c r="L51" s="581"/>
      <c r="M51" s="581"/>
      <c r="N51" s="581"/>
      <c r="O51" s="581"/>
      <c r="P51" s="581"/>
      <c r="Q51" s="581"/>
      <c r="R51" s="585"/>
      <c r="S51" s="596"/>
      <c r="T51" s="585"/>
      <c r="U51" s="585"/>
      <c r="V51" s="477"/>
      <c r="W51" s="488"/>
      <c r="Y51" s="613"/>
      <c r="Z51" s="614"/>
      <c r="AA51" s="496"/>
      <c r="AB51" s="614"/>
      <c r="AC51" s="615"/>
    </row>
    <row r="52" spans="1:29" s="138" customFormat="1" ht="15.75" customHeight="1">
      <c r="A52" s="482">
        <v>46</v>
      </c>
      <c r="B52" s="482"/>
      <c r="C52" s="494"/>
      <c r="D52" s="477"/>
      <c r="E52" s="475"/>
      <c r="F52" s="477"/>
      <c r="G52" s="579"/>
      <c r="H52" s="482"/>
      <c r="I52" s="580"/>
      <c r="J52" s="580"/>
      <c r="K52" s="581"/>
      <c r="L52" s="581"/>
      <c r="M52" s="581"/>
      <c r="N52" s="581"/>
      <c r="O52" s="581"/>
      <c r="P52" s="581"/>
      <c r="Q52" s="581"/>
      <c r="R52" s="585"/>
      <c r="S52" s="596"/>
      <c r="T52" s="585"/>
      <c r="U52" s="585"/>
      <c r="V52" s="477"/>
      <c r="W52" s="488"/>
      <c r="Y52" s="613"/>
      <c r="Z52" s="614"/>
      <c r="AA52" s="496"/>
      <c r="AB52" s="614"/>
      <c r="AC52" s="615"/>
    </row>
    <row r="53" spans="1:29" s="138" customFormat="1" ht="15.75" customHeight="1">
      <c r="A53" s="482">
        <v>47</v>
      </c>
      <c r="B53" s="482"/>
      <c r="C53" s="494"/>
      <c r="D53" s="477"/>
      <c r="E53" s="475"/>
      <c r="F53" s="477"/>
      <c r="G53" s="579"/>
      <c r="H53" s="482"/>
      <c r="I53" s="580"/>
      <c r="J53" s="580"/>
      <c r="K53" s="581"/>
      <c r="L53" s="581"/>
      <c r="M53" s="581"/>
      <c r="N53" s="581"/>
      <c r="O53" s="581"/>
      <c r="P53" s="581"/>
      <c r="Q53" s="581"/>
      <c r="R53" s="585"/>
      <c r="S53" s="596"/>
      <c r="T53" s="585"/>
      <c r="U53" s="585"/>
      <c r="V53" s="477"/>
      <c r="W53" s="488"/>
      <c r="Y53" s="613"/>
      <c r="Z53" s="614"/>
      <c r="AA53" s="496"/>
      <c r="AB53" s="614"/>
      <c r="AC53" s="615"/>
    </row>
    <row r="54" spans="1:29" s="138" customFormat="1" ht="15.75" customHeight="1">
      <c r="A54" s="482">
        <v>48</v>
      </c>
      <c r="B54" s="482"/>
      <c r="C54" s="494"/>
      <c r="D54" s="477"/>
      <c r="E54" s="475"/>
      <c r="F54" s="477"/>
      <c r="G54" s="579"/>
      <c r="H54" s="482"/>
      <c r="I54" s="580"/>
      <c r="J54" s="580"/>
      <c r="K54" s="581"/>
      <c r="L54" s="581"/>
      <c r="M54" s="581"/>
      <c r="N54" s="581"/>
      <c r="O54" s="581"/>
      <c r="P54" s="581"/>
      <c r="Q54" s="581"/>
      <c r="R54" s="585"/>
      <c r="S54" s="596"/>
      <c r="T54" s="585"/>
      <c r="U54" s="585"/>
      <c r="V54" s="477"/>
      <c r="W54" s="488"/>
      <c r="Y54" s="613"/>
      <c r="Z54" s="614"/>
      <c r="AA54" s="496"/>
      <c r="AB54" s="614"/>
      <c r="AC54" s="615"/>
    </row>
    <row r="55" spans="1:29" s="138" customFormat="1" ht="15.75" customHeight="1">
      <c r="A55" s="482">
        <v>49</v>
      </c>
      <c r="B55" s="482"/>
      <c r="C55" s="494"/>
      <c r="D55" s="477"/>
      <c r="E55" s="475"/>
      <c r="F55" s="477"/>
      <c r="G55" s="579"/>
      <c r="H55" s="482"/>
      <c r="I55" s="580"/>
      <c r="J55" s="580"/>
      <c r="K55" s="581"/>
      <c r="L55" s="581"/>
      <c r="M55" s="581"/>
      <c r="N55" s="581"/>
      <c r="O55" s="581"/>
      <c r="P55" s="581"/>
      <c r="Q55" s="581"/>
      <c r="R55" s="585"/>
      <c r="S55" s="596"/>
      <c r="T55" s="585"/>
      <c r="U55" s="585"/>
      <c r="V55" s="477"/>
      <c r="W55" s="488"/>
      <c r="Y55" s="613"/>
      <c r="Z55" s="614"/>
      <c r="AA55" s="496"/>
      <c r="AB55" s="614"/>
      <c r="AC55" s="615"/>
    </row>
    <row r="56" spans="1:29" s="138" customFormat="1" ht="15.75" customHeight="1">
      <c r="A56" s="482">
        <v>50</v>
      </c>
      <c r="B56" s="482"/>
      <c r="C56" s="494"/>
      <c r="D56" s="477"/>
      <c r="E56" s="475"/>
      <c r="F56" s="477"/>
      <c r="G56" s="579"/>
      <c r="H56" s="482"/>
      <c r="I56" s="580"/>
      <c r="J56" s="580"/>
      <c r="K56" s="581"/>
      <c r="L56" s="581"/>
      <c r="M56" s="581"/>
      <c r="N56" s="581"/>
      <c r="O56" s="581"/>
      <c r="P56" s="581"/>
      <c r="Q56" s="581"/>
      <c r="R56" s="585"/>
      <c r="S56" s="596"/>
      <c r="T56" s="585"/>
      <c r="U56" s="585"/>
      <c r="V56" s="477"/>
      <c r="W56" s="488"/>
      <c r="Y56" s="613"/>
      <c r="Z56" s="614"/>
      <c r="AA56" s="496"/>
      <c r="AB56" s="614"/>
      <c r="AC56" s="615"/>
    </row>
    <row r="57" spans="1:29" s="138" customFormat="1" ht="15.75" customHeight="1">
      <c r="A57" s="482">
        <v>51</v>
      </c>
      <c r="B57" s="482"/>
      <c r="C57" s="494"/>
      <c r="D57" s="477"/>
      <c r="E57" s="475"/>
      <c r="F57" s="477"/>
      <c r="G57" s="579"/>
      <c r="H57" s="482"/>
      <c r="I57" s="580"/>
      <c r="J57" s="580"/>
      <c r="K57" s="581"/>
      <c r="L57" s="581"/>
      <c r="M57" s="581"/>
      <c r="N57" s="581"/>
      <c r="O57" s="581"/>
      <c r="P57" s="581"/>
      <c r="Q57" s="581"/>
      <c r="R57" s="585"/>
      <c r="S57" s="596"/>
      <c r="T57" s="585"/>
      <c r="U57" s="585"/>
      <c r="V57" s="477"/>
      <c r="W57" s="488"/>
      <c r="Y57" s="613"/>
      <c r="Z57" s="614"/>
      <c r="AA57" s="496"/>
      <c r="AB57" s="614"/>
      <c r="AC57" s="615"/>
    </row>
    <row r="58" spans="1:29" s="138" customFormat="1" ht="15.75" customHeight="1">
      <c r="A58" s="482">
        <v>52</v>
      </c>
      <c r="B58" s="482"/>
      <c r="C58" s="494"/>
      <c r="D58" s="477"/>
      <c r="E58" s="475"/>
      <c r="F58" s="477"/>
      <c r="G58" s="579"/>
      <c r="H58" s="482"/>
      <c r="I58" s="580"/>
      <c r="J58" s="580"/>
      <c r="K58" s="581"/>
      <c r="L58" s="581"/>
      <c r="M58" s="581"/>
      <c r="N58" s="581"/>
      <c r="O58" s="581"/>
      <c r="P58" s="581"/>
      <c r="Q58" s="581"/>
      <c r="R58" s="585"/>
      <c r="S58" s="596"/>
      <c r="T58" s="585"/>
      <c r="U58" s="585"/>
      <c r="V58" s="477"/>
      <c r="W58" s="488"/>
      <c r="Y58" s="613"/>
      <c r="Z58" s="614"/>
      <c r="AA58" s="496"/>
      <c r="AB58" s="614"/>
      <c r="AC58" s="615"/>
    </row>
    <row r="59" spans="1:29" s="138" customFormat="1" ht="15.75" customHeight="1">
      <c r="A59" s="482">
        <v>53</v>
      </c>
      <c r="B59" s="482"/>
      <c r="C59" s="494"/>
      <c r="D59" s="477"/>
      <c r="E59" s="475"/>
      <c r="F59" s="477"/>
      <c r="G59" s="579"/>
      <c r="H59" s="482"/>
      <c r="I59" s="580"/>
      <c r="J59" s="580"/>
      <c r="K59" s="581"/>
      <c r="L59" s="581"/>
      <c r="M59" s="581"/>
      <c r="N59" s="581"/>
      <c r="O59" s="581"/>
      <c r="P59" s="581"/>
      <c r="Q59" s="581"/>
      <c r="R59" s="585"/>
      <c r="S59" s="596"/>
      <c r="T59" s="585"/>
      <c r="U59" s="585"/>
      <c r="V59" s="477"/>
      <c r="W59" s="488"/>
      <c r="Y59" s="613"/>
      <c r="Z59" s="614"/>
      <c r="AA59" s="496"/>
      <c r="AB59" s="614"/>
      <c r="AC59" s="615"/>
    </row>
    <row r="60" spans="1:29" s="138" customFormat="1" ht="15.75" customHeight="1">
      <c r="A60" s="482">
        <v>54</v>
      </c>
      <c r="B60" s="482"/>
      <c r="C60" s="494"/>
      <c r="D60" s="477"/>
      <c r="E60" s="475"/>
      <c r="F60" s="477"/>
      <c r="G60" s="579"/>
      <c r="H60" s="482"/>
      <c r="I60" s="580"/>
      <c r="J60" s="580"/>
      <c r="K60" s="581"/>
      <c r="L60" s="581"/>
      <c r="M60" s="581"/>
      <c r="N60" s="581"/>
      <c r="O60" s="581"/>
      <c r="P60" s="581"/>
      <c r="Q60" s="581"/>
      <c r="R60" s="585"/>
      <c r="S60" s="596"/>
      <c r="T60" s="585"/>
      <c r="U60" s="585"/>
      <c r="V60" s="477"/>
      <c r="W60" s="488"/>
      <c r="Y60" s="613"/>
      <c r="Z60" s="614"/>
      <c r="AA60" s="496"/>
      <c r="AB60" s="614"/>
      <c r="AC60" s="615"/>
    </row>
    <row r="61" spans="1:29" s="138" customFormat="1" ht="15.75" customHeight="1">
      <c r="A61" s="482">
        <v>55</v>
      </c>
      <c r="B61" s="482"/>
      <c r="C61" s="494"/>
      <c r="D61" s="477"/>
      <c r="E61" s="475"/>
      <c r="F61" s="477"/>
      <c r="G61" s="579"/>
      <c r="H61" s="482"/>
      <c r="I61" s="580"/>
      <c r="J61" s="580"/>
      <c r="K61" s="581"/>
      <c r="L61" s="581"/>
      <c r="M61" s="581"/>
      <c r="N61" s="581"/>
      <c r="O61" s="581"/>
      <c r="P61" s="581"/>
      <c r="Q61" s="581"/>
      <c r="R61" s="585"/>
      <c r="S61" s="596"/>
      <c r="T61" s="585"/>
      <c r="U61" s="585"/>
      <c r="V61" s="477"/>
      <c r="W61" s="488"/>
      <c r="Y61" s="613"/>
      <c r="Z61" s="614"/>
      <c r="AA61" s="496"/>
      <c r="AB61" s="614"/>
      <c r="AC61" s="615"/>
    </row>
    <row r="62" spans="1:29" s="138" customFormat="1" ht="15.75" customHeight="1">
      <c r="A62" s="482">
        <v>56</v>
      </c>
      <c r="B62" s="482"/>
      <c r="C62" s="494"/>
      <c r="D62" s="477"/>
      <c r="E62" s="475"/>
      <c r="F62" s="477"/>
      <c r="G62" s="579"/>
      <c r="H62" s="482"/>
      <c r="I62" s="580"/>
      <c r="J62" s="580"/>
      <c r="K62" s="581"/>
      <c r="L62" s="581"/>
      <c r="M62" s="581"/>
      <c r="N62" s="581"/>
      <c r="O62" s="581"/>
      <c r="P62" s="581"/>
      <c r="Q62" s="581"/>
      <c r="R62" s="585"/>
      <c r="S62" s="596"/>
      <c r="T62" s="585"/>
      <c r="U62" s="585"/>
      <c r="V62" s="477"/>
      <c r="W62" s="488"/>
      <c r="Y62" s="613"/>
      <c r="Z62" s="614"/>
      <c r="AA62" s="496"/>
      <c r="AB62" s="614"/>
      <c r="AC62" s="615"/>
    </row>
    <row r="63" spans="1:29" s="138" customFormat="1" ht="15.75" customHeight="1">
      <c r="A63" s="482">
        <v>57</v>
      </c>
      <c r="B63" s="482"/>
      <c r="C63" s="494"/>
      <c r="D63" s="477"/>
      <c r="E63" s="475"/>
      <c r="F63" s="477"/>
      <c r="G63" s="579"/>
      <c r="H63" s="482"/>
      <c r="I63" s="580"/>
      <c r="J63" s="580"/>
      <c r="K63" s="581"/>
      <c r="L63" s="581"/>
      <c r="M63" s="581"/>
      <c r="N63" s="581"/>
      <c r="O63" s="581"/>
      <c r="P63" s="581"/>
      <c r="Q63" s="581"/>
      <c r="R63" s="585"/>
      <c r="S63" s="596"/>
      <c r="T63" s="585"/>
      <c r="U63" s="585"/>
      <c r="V63" s="477"/>
      <c r="W63" s="488"/>
      <c r="Y63" s="613"/>
      <c r="Z63" s="614"/>
      <c r="AA63" s="496"/>
      <c r="AB63" s="614"/>
      <c r="AC63" s="615"/>
    </row>
    <row r="64" spans="1:29" s="138" customFormat="1" ht="15.75" customHeight="1">
      <c r="A64" s="482">
        <v>58</v>
      </c>
      <c r="B64" s="482"/>
      <c r="C64" s="494"/>
      <c r="D64" s="477"/>
      <c r="E64" s="475"/>
      <c r="F64" s="477"/>
      <c r="G64" s="579"/>
      <c r="H64" s="482"/>
      <c r="I64" s="580"/>
      <c r="J64" s="580"/>
      <c r="K64" s="581"/>
      <c r="L64" s="581"/>
      <c r="M64" s="581"/>
      <c r="N64" s="581"/>
      <c r="O64" s="581"/>
      <c r="P64" s="581"/>
      <c r="Q64" s="581"/>
      <c r="R64" s="585"/>
      <c r="S64" s="596"/>
      <c r="T64" s="585"/>
      <c r="U64" s="585"/>
      <c r="V64" s="477"/>
      <c r="W64" s="488"/>
      <c r="Y64" s="613"/>
      <c r="Z64" s="614"/>
      <c r="AA64" s="496"/>
      <c r="AB64" s="614"/>
      <c r="AC64" s="615"/>
    </row>
    <row r="65" spans="1:29" s="138" customFormat="1" ht="15.75" customHeight="1">
      <c r="A65" s="482">
        <v>59</v>
      </c>
      <c r="B65" s="482"/>
      <c r="C65" s="494"/>
      <c r="D65" s="477"/>
      <c r="E65" s="475"/>
      <c r="F65" s="477"/>
      <c r="G65" s="579"/>
      <c r="H65" s="482"/>
      <c r="I65" s="580"/>
      <c r="J65" s="580"/>
      <c r="K65" s="581"/>
      <c r="L65" s="581"/>
      <c r="M65" s="581"/>
      <c r="N65" s="581"/>
      <c r="O65" s="581"/>
      <c r="P65" s="581"/>
      <c r="Q65" s="581"/>
      <c r="R65" s="585"/>
      <c r="S65" s="596"/>
      <c r="T65" s="585"/>
      <c r="U65" s="585"/>
      <c r="V65" s="477"/>
      <c r="W65" s="488"/>
      <c r="Y65" s="613"/>
      <c r="Z65" s="614"/>
      <c r="AA65" s="496"/>
      <c r="AB65" s="614"/>
      <c r="AC65" s="615"/>
    </row>
    <row r="66" spans="1:29" s="138" customFormat="1" ht="15.75" customHeight="1">
      <c r="A66" s="482">
        <v>60</v>
      </c>
      <c r="B66" s="482"/>
      <c r="C66" s="494"/>
      <c r="D66" s="477"/>
      <c r="E66" s="475"/>
      <c r="F66" s="477"/>
      <c r="G66" s="579"/>
      <c r="H66" s="482"/>
      <c r="I66" s="580"/>
      <c r="J66" s="580"/>
      <c r="K66" s="581"/>
      <c r="L66" s="581"/>
      <c r="M66" s="581"/>
      <c r="N66" s="581"/>
      <c r="O66" s="581"/>
      <c r="P66" s="581"/>
      <c r="Q66" s="581"/>
      <c r="R66" s="585"/>
      <c r="S66" s="596"/>
      <c r="T66" s="585"/>
      <c r="U66" s="585"/>
      <c r="V66" s="477"/>
      <c r="W66" s="488"/>
      <c r="Y66" s="613"/>
      <c r="Z66" s="614"/>
      <c r="AA66" s="496"/>
      <c r="AB66" s="614"/>
      <c r="AC66" s="615"/>
    </row>
    <row r="67" spans="1:29" s="138" customFormat="1" ht="15.75" customHeight="1">
      <c r="A67" s="482">
        <v>61</v>
      </c>
      <c r="B67" s="482"/>
      <c r="C67" s="494"/>
      <c r="D67" s="477"/>
      <c r="E67" s="475"/>
      <c r="F67" s="477"/>
      <c r="G67" s="579"/>
      <c r="H67" s="482"/>
      <c r="I67" s="580"/>
      <c r="J67" s="580"/>
      <c r="K67" s="581"/>
      <c r="L67" s="581"/>
      <c r="M67" s="581"/>
      <c r="N67" s="581"/>
      <c r="O67" s="581"/>
      <c r="P67" s="581"/>
      <c r="Q67" s="581"/>
      <c r="R67" s="585"/>
      <c r="S67" s="596"/>
      <c r="T67" s="585"/>
      <c r="U67" s="585"/>
      <c r="V67" s="477"/>
      <c r="W67" s="488"/>
      <c r="Y67" s="613"/>
      <c r="Z67" s="614"/>
      <c r="AA67" s="496"/>
      <c r="AB67" s="614"/>
      <c r="AC67" s="615"/>
    </row>
    <row r="68" spans="1:29" s="138" customFormat="1" ht="15.75" customHeight="1">
      <c r="A68" s="482">
        <v>62</v>
      </c>
      <c r="B68" s="482"/>
      <c r="C68" s="494"/>
      <c r="D68" s="477"/>
      <c r="E68" s="475"/>
      <c r="F68" s="477"/>
      <c r="G68" s="579"/>
      <c r="H68" s="482"/>
      <c r="I68" s="580"/>
      <c r="J68" s="580"/>
      <c r="K68" s="581"/>
      <c r="L68" s="581"/>
      <c r="M68" s="581"/>
      <c r="N68" s="581"/>
      <c r="O68" s="581"/>
      <c r="P68" s="581"/>
      <c r="Q68" s="581"/>
      <c r="R68" s="585"/>
      <c r="S68" s="596"/>
      <c r="T68" s="585"/>
      <c r="U68" s="585"/>
      <c r="V68" s="477"/>
      <c r="W68" s="488"/>
      <c r="Y68" s="613"/>
      <c r="Z68" s="614"/>
      <c r="AA68" s="496"/>
      <c r="AB68" s="614"/>
      <c r="AC68" s="615"/>
    </row>
    <row r="69" spans="1:29" s="138" customFormat="1" ht="15.75" customHeight="1">
      <c r="A69" s="482">
        <v>63</v>
      </c>
      <c r="B69" s="482"/>
      <c r="C69" s="494"/>
      <c r="D69" s="477"/>
      <c r="E69" s="475"/>
      <c r="F69" s="477"/>
      <c r="G69" s="579"/>
      <c r="H69" s="482"/>
      <c r="I69" s="580"/>
      <c r="J69" s="580"/>
      <c r="K69" s="581"/>
      <c r="L69" s="581"/>
      <c r="M69" s="581"/>
      <c r="N69" s="581"/>
      <c r="O69" s="581"/>
      <c r="P69" s="581"/>
      <c r="Q69" s="581"/>
      <c r="R69" s="585"/>
      <c r="S69" s="596"/>
      <c r="T69" s="585"/>
      <c r="U69" s="585"/>
      <c r="V69" s="477"/>
      <c r="W69" s="488"/>
      <c r="Y69" s="613"/>
      <c r="Z69" s="614"/>
      <c r="AA69" s="496"/>
      <c r="AB69" s="614"/>
      <c r="AC69" s="615"/>
    </row>
    <row r="70" spans="1:29" s="138" customFormat="1" ht="15.75" customHeight="1">
      <c r="A70" s="482">
        <v>64</v>
      </c>
      <c r="B70" s="482"/>
      <c r="C70" s="494"/>
      <c r="D70" s="477"/>
      <c r="E70" s="475"/>
      <c r="F70" s="477"/>
      <c r="G70" s="579"/>
      <c r="H70" s="482"/>
      <c r="I70" s="580"/>
      <c r="J70" s="580"/>
      <c r="K70" s="581"/>
      <c r="L70" s="581"/>
      <c r="M70" s="581"/>
      <c r="N70" s="581"/>
      <c r="O70" s="581"/>
      <c r="P70" s="581"/>
      <c r="Q70" s="581"/>
      <c r="R70" s="585"/>
      <c r="S70" s="596"/>
      <c r="T70" s="585"/>
      <c r="U70" s="585"/>
      <c r="V70" s="477"/>
      <c r="W70" s="488"/>
      <c r="Y70" s="613"/>
      <c r="Z70" s="614"/>
      <c r="AA70" s="496"/>
      <c r="AB70" s="614"/>
      <c r="AC70" s="615"/>
    </row>
    <row r="71" spans="1:29" s="138" customFormat="1" ht="15.75" customHeight="1">
      <c r="A71" s="482">
        <v>65</v>
      </c>
      <c r="B71" s="482"/>
      <c r="C71" s="494"/>
      <c r="D71" s="477"/>
      <c r="E71" s="475"/>
      <c r="F71" s="477"/>
      <c r="G71" s="579"/>
      <c r="H71" s="482"/>
      <c r="I71" s="580"/>
      <c r="J71" s="580"/>
      <c r="K71" s="581"/>
      <c r="L71" s="581"/>
      <c r="M71" s="581"/>
      <c r="N71" s="581"/>
      <c r="O71" s="581"/>
      <c r="P71" s="581"/>
      <c r="Q71" s="581"/>
      <c r="R71" s="585"/>
      <c r="S71" s="596"/>
      <c r="T71" s="585"/>
      <c r="U71" s="585"/>
      <c r="V71" s="477"/>
      <c r="W71" s="488"/>
      <c r="Y71" s="613"/>
      <c r="Z71" s="614"/>
      <c r="AA71" s="496"/>
      <c r="AB71" s="614"/>
      <c r="AC71" s="615"/>
    </row>
    <row r="72" spans="1:29" s="138" customFormat="1" ht="15.75" customHeight="1">
      <c r="A72" s="482">
        <v>66</v>
      </c>
      <c r="B72" s="482"/>
      <c r="C72" s="494"/>
      <c r="D72" s="477"/>
      <c r="E72" s="475"/>
      <c r="F72" s="477"/>
      <c r="G72" s="579"/>
      <c r="H72" s="482"/>
      <c r="I72" s="580"/>
      <c r="J72" s="580"/>
      <c r="K72" s="581"/>
      <c r="L72" s="581"/>
      <c r="M72" s="581"/>
      <c r="N72" s="581"/>
      <c r="O72" s="581"/>
      <c r="P72" s="581"/>
      <c r="Q72" s="581"/>
      <c r="R72" s="585"/>
      <c r="S72" s="596"/>
      <c r="T72" s="585"/>
      <c r="U72" s="585"/>
      <c r="V72" s="477"/>
      <c r="W72" s="488"/>
      <c r="Y72" s="613"/>
      <c r="Z72" s="614"/>
      <c r="AA72" s="496"/>
      <c r="AB72" s="614"/>
      <c r="AC72" s="615"/>
    </row>
    <row r="73" spans="1:29" s="138" customFormat="1" ht="15.75" customHeight="1">
      <c r="A73" s="482">
        <v>67</v>
      </c>
      <c r="B73" s="482"/>
      <c r="C73" s="494"/>
      <c r="D73" s="477"/>
      <c r="E73" s="475"/>
      <c r="F73" s="477"/>
      <c r="G73" s="579"/>
      <c r="H73" s="482"/>
      <c r="I73" s="580"/>
      <c r="J73" s="580"/>
      <c r="K73" s="581"/>
      <c r="L73" s="581"/>
      <c r="M73" s="581"/>
      <c r="N73" s="581"/>
      <c r="O73" s="581"/>
      <c r="P73" s="581"/>
      <c r="Q73" s="581"/>
      <c r="R73" s="585"/>
      <c r="S73" s="596"/>
      <c r="T73" s="585"/>
      <c r="U73" s="585"/>
      <c r="V73" s="477"/>
      <c r="W73" s="488"/>
      <c r="Y73" s="613"/>
      <c r="Z73" s="614"/>
      <c r="AA73" s="496"/>
      <c r="AB73" s="614"/>
      <c r="AC73" s="615"/>
    </row>
    <row r="74" spans="1:29" s="138" customFormat="1" ht="15.75" customHeight="1">
      <c r="A74" s="482">
        <v>68</v>
      </c>
      <c r="B74" s="482"/>
      <c r="C74" s="494"/>
      <c r="D74" s="477"/>
      <c r="E74" s="475"/>
      <c r="F74" s="477"/>
      <c r="G74" s="579"/>
      <c r="H74" s="482"/>
      <c r="I74" s="580"/>
      <c r="J74" s="580"/>
      <c r="K74" s="581"/>
      <c r="L74" s="581"/>
      <c r="M74" s="581"/>
      <c r="N74" s="581"/>
      <c r="O74" s="581"/>
      <c r="P74" s="581"/>
      <c r="Q74" s="581"/>
      <c r="R74" s="585"/>
      <c r="S74" s="596"/>
      <c r="T74" s="585"/>
      <c r="U74" s="585"/>
      <c r="V74" s="477"/>
      <c r="W74" s="488"/>
      <c r="Y74" s="613"/>
      <c r="Z74" s="614"/>
      <c r="AA74" s="496"/>
      <c r="AB74" s="614"/>
      <c r="AC74" s="615"/>
    </row>
    <row r="75" spans="1:29" s="138" customFormat="1" ht="15.75" customHeight="1">
      <c r="A75" s="482">
        <v>69</v>
      </c>
      <c r="B75" s="482"/>
      <c r="C75" s="494"/>
      <c r="D75" s="477"/>
      <c r="E75" s="475"/>
      <c r="F75" s="477"/>
      <c r="G75" s="579"/>
      <c r="H75" s="482"/>
      <c r="I75" s="580"/>
      <c r="J75" s="580"/>
      <c r="K75" s="581"/>
      <c r="L75" s="581"/>
      <c r="M75" s="581"/>
      <c r="N75" s="581"/>
      <c r="O75" s="581"/>
      <c r="P75" s="581"/>
      <c r="Q75" s="581"/>
      <c r="R75" s="585"/>
      <c r="S75" s="596"/>
      <c r="T75" s="585"/>
      <c r="U75" s="585"/>
      <c r="V75" s="477"/>
      <c r="W75" s="488"/>
      <c r="Y75" s="613"/>
      <c r="Z75" s="614"/>
      <c r="AA75" s="496"/>
      <c r="AB75" s="614"/>
      <c r="AC75" s="615"/>
    </row>
    <row r="76" spans="1:29" s="138" customFormat="1" ht="15.75" customHeight="1">
      <c r="A76" s="482">
        <v>70</v>
      </c>
      <c r="B76" s="482"/>
      <c r="C76" s="494"/>
      <c r="D76" s="477"/>
      <c r="E76" s="475"/>
      <c r="F76" s="477"/>
      <c r="G76" s="579"/>
      <c r="H76" s="482"/>
      <c r="I76" s="580"/>
      <c r="J76" s="580"/>
      <c r="K76" s="581"/>
      <c r="L76" s="581"/>
      <c r="M76" s="581"/>
      <c r="N76" s="581"/>
      <c r="O76" s="581"/>
      <c r="P76" s="581"/>
      <c r="Q76" s="581"/>
      <c r="R76" s="585"/>
      <c r="S76" s="596"/>
      <c r="T76" s="585"/>
      <c r="U76" s="585"/>
      <c r="V76" s="477"/>
      <c r="W76" s="488"/>
      <c r="Y76" s="613"/>
      <c r="Z76" s="614"/>
      <c r="AA76" s="496"/>
      <c r="AB76" s="614"/>
      <c r="AC76" s="615"/>
    </row>
    <row r="77" spans="1:29" s="138" customFormat="1" ht="15.75" customHeight="1">
      <c r="A77" s="482">
        <v>71</v>
      </c>
      <c r="B77" s="482"/>
      <c r="C77" s="494"/>
      <c r="D77" s="477"/>
      <c r="E77" s="475"/>
      <c r="F77" s="477"/>
      <c r="G77" s="579"/>
      <c r="H77" s="482"/>
      <c r="I77" s="580"/>
      <c r="J77" s="580"/>
      <c r="K77" s="581"/>
      <c r="L77" s="581"/>
      <c r="M77" s="581"/>
      <c r="N77" s="581"/>
      <c r="O77" s="581"/>
      <c r="P77" s="581"/>
      <c r="Q77" s="581"/>
      <c r="R77" s="585"/>
      <c r="S77" s="596"/>
      <c r="T77" s="585"/>
      <c r="U77" s="585"/>
      <c r="V77" s="477"/>
      <c r="W77" s="488"/>
      <c r="Y77" s="613"/>
      <c r="Z77" s="614"/>
      <c r="AA77" s="496"/>
      <c r="AB77" s="614"/>
      <c r="AC77" s="615"/>
    </row>
    <row r="78" spans="1:29" s="138" customFormat="1" ht="15.75" customHeight="1">
      <c r="A78" s="482">
        <v>72</v>
      </c>
      <c r="B78" s="482"/>
      <c r="C78" s="494"/>
      <c r="D78" s="477"/>
      <c r="E78" s="475"/>
      <c r="F78" s="477"/>
      <c r="G78" s="579"/>
      <c r="H78" s="482"/>
      <c r="I78" s="580"/>
      <c r="J78" s="580"/>
      <c r="K78" s="581"/>
      <c r="L78" s="581"/>
      <c r="M78" s="581"/>
      <c r="N78" s="581"/>
      <c r="O78" s="581"/>
      <c r="P78" s="581"/>
      <c r="Q78" s="581"/>
      <c r="R78" s="585"/>
      <c r="S78" s="596"/>
      <c r="T78" s="585"/>
      <c r="U78" s="585"/>
      <c r="V78" s="477"/>
      <c r="W78" s="488"/>
      <c r="Y78" s="613"/>
      <c r="Z78" s="614"/>
      <c r="AA78" s="496"/>
      <c r="AB78" s="614"/>
      <c r="AC78" s="615"/>
    </row>
    <row r="79" spans="1:29" s="138" customFormat="1" ht="15.75" customHeight="1">
      <c r="A79" s="482">
        <v>73</v>
      </c>
      <c r="B79" s="482"/>
      <c r="C79" s="494"/>
      <c r="D79" s="477"/>
      <c r="E79" s="475"/>
      <c r="F79" s="477"/>
      <c r="G79" s="579"/>
      <c r="H79" s="482"/>
      <c r="I79" s="580"/>
      <c r="J79" s="580"/>
      <c r="K79" s="581"/>
      <c r="L79" s="581"/>
      <c r="M79" s="581"/>
      <c r="N79" s="581"/>
      <c r="O79" s="581"/>
      <c r="P79" s="581"/>
      <c r="Q79" s="581"/>
      <c r="R79" s="585"/>
      <c r="S79" s="596"/>
      <c r="T79" s="585"/>
      <c r="U79" s="585"/>
      <c r="V79" s="477"/>
      <c r="W79" s="488"/>
      <c r="Y79" s="613"/>
      <c r="Z79" s="614"/>
      <c r="AA79" s="496"/>
      <c r="AB79" s="614"/>
      <c r="AC79" s="615"/>
    </row>
    <row r="80" spans="1:29" s="138" customFormat="1" ht="15.75" customHeight="1">
      <c r="A80" s="482">
        <v>74</v>
      </c>
      <c r="B80" s="482"/>
      <c r="C80" s="494"/>
      <c r="D80" s="477"/>
      <c r="E80" s="475"/>
      <c r="F80" s="477"/>
      <c r="G80" s="579"/>
      <c r="H80" s="482"/>
      <c r="I80" s="580"/>
      <c r="J80" s="580"/>
      <c r="K80" s="581"/>
      <c r="L80" s="581"/>
      <c r="M80" s="581"/>
      <c r="N80" s="581"/>
      <c r="O80" s="581"/>
      <c r="P80" s="581"/>
      <c r="Q80" s="581"/>
      <c r="R80" s="585"/>
      <c r="S80" s="596"/>
      <c r="T80" s="585"/>
      <c r="U80" s="585"/>
      <c r="V80" s="477"/>
      <c r="W80" s="488"/>
      <c r="Y80" s="613"/>
      <c r="Z80" s="614"/>
      <c r="AA80" s="496"/>
      <c r="AB80" s="614"/>
      <c r="AC80" s="615"/>
    </row>
    <row r="81" spans="1:29" s="138" customFormat="1" ht="15.75" customHeight="1">
      <c r="A81" s="482">
        <v>75</v>
      </c>
      <c r="B81" s="482"/>
      <c r="C81" s="494"/>
      <c r="D81" s="477"/>
      <c r="E81" s="475"/>
      <c r="F81" s="477"/>
      <c r="G81" s="579"/>
      <c r="H81" s="482"/>
      <c r="I81" s="580"/>
      <c r="J81" s="580"/>
      <c r="K81" s="581"/>
      <c r="L81" s="581"/>
      <c r="M81" s="581"/>
      <c r="N81" s="581"/>
      <c r="O81" s="581"/>
      <c r="P81" s="581"/>
      <c r="Q81" s="581"/>
      <c r="R81" s="585"/>
      <c r="S81" s="596"/>
      <c r="T81" s="585"/>
      <c r="U81" s="585"/>
      <c r="V81" s="477"/>
      <c r="W81" s="488"/>
      <c r="Y81" s="613"/>
      <c r="Z81" s="614"/>
      <c r="AA81" s="496"/>
      <c r="AB81" s="614"/>
      <c r="AC81" s="615"/>
    </row>
    <row r="82" spans="1:29" s="138" customFormat="1" ht="15.75" customHeight="1">
      <c r="A82" s="482">
        <v>76</v>
      </c>
      <c r="B82" s="482"/>
      <c r="C82" s="494"/>
      <c r="D82" s="477"/>
      <c r="E82" s="475"/>
      <c r="F82" s="477"/>
      <c r="G82" s="579"/>
      <c r="H82" s="482"/>
      <c r="I82" s="580"/>
      <c r="J82" s="580"/>
      <c r="K82" s="581"/>
      <c r="L82" s="581"/>
      <c r="M82" s="581"/>
      <c r="N82" s="581"/>
      <c r="O82" s="581"/>
      <c r="P82" s="581"/>
      <c r="Q82" s="581"/>
      <c r="R82" s="585"/>
      <c r="S82" s="596"/>
      <c r="T82" s="585"/>
      <c r="U82" s="585"/>
      <c r="V82" s="477"/>
      <c r="W82" s="488"/>
      <c r="Y82" s="613"/>
      <c r="Z82" s="614"/>
      <c r="AA82" s="496"/>
      <c r="AB82" s="614"/>
      <c r="AC82" s="615"/>
    </row>
    <row r="83" spans="1:29" s="138" customFormat="1" ht="15.75" customHeight="1">
      <c r="A83" s="482">
        <v>77</v>
      </c>
      <c r="B83" s="482"/>
      <c r="C83" s="494"/>
      <c r="D83" s="477"/>
      <c r="E83" s="475"/>
      <c r="F83" s="477"/>
      <c r="G83" s="579"/>
      <c r="H83" s="482"/>
      <c r="I83" s="580"/>
      <c r="J83" s="580"/>
      <c r="K83" s="581"/>
      <c r="L83" s="581"/>
      <c r="M83" s="581"/>
      <c r="N83" s="581"/>
      <c r="O83" s="581"/>
      <c r="P83" s="581"/>
      <c r="Q83" s="581"/>
      <c r="R83" s="585"/>
      <c r="S83" s="596"/>
      <c r="T83" s="585"/>
      <c r="U83" s="585"/>
      <c r="V83" s="477"/>
      <c r="W83" s="488"/>
      <c r="Y83" s="613"/>
      <c r="Z83" s="614"/>
      <c r="AA83" s="496"/>
      <c r="AB83" s="614"/>
      <c r="AC83" s="615"/>
    </row>
    <row r="84" spans="1:29" s="138" customFormat="1" ht="15.75" customHeight="1">
      <c r="A84" s="482">
        <v>78</v>
      </c>
      <c r="B84" s="482"/>
      <c r="C84" s="494"/>
      <c r="D84" s="477"/>
      <c r="E84" s="475"/>
      <c r="F84" s="477"/>
      <c r="G84" s="579"/>
      <c r="H84" s="482"/>
      <c r="I84" s="580"/>
      <c r="J84" s="580"/>
      <c r="K84" s="581"/>
      <c r="L84" s="581"/>
      <c r="M84" s="581"/>
      <c r="N84" s="581"/>
      <c r="O84" s="581"/>
      <c r="P84" s="581"/>
      <c r="Q84" s="581"/>
      <c r="R84" s="585"/>
      <c r="S84" s="596"/>
      <c r="T84" s="585"/>
      <c r="U84" s="585"/>
      <c r="V84" s="477"/>
      <c r="W84" s="488"/>
      <c r="Y84" s="613"/>
      <c r="Z84" s="614"/>
      <c r="AA84" s="496"/>
      <c r="AB84" s="614"/>
      <c r="AC84" s="615"/>
    </row>
    <row r="85" spans="1:29" s="138" customFormat="1" ht="15.75" customHeight="1">
      <c r="A85" s="482">
        <v>79</v>
      </c>
      <c r="B85" s="482"/>
      <c r="C85" s="494"/>
      <c r="D85" s="477"/>
      <c r="E85" s="475"/>
      <c r="F85" s="477"/>
      <c r="G85" s="579"/>
      <c r="H85" s="482"/>
      <c r="I85" s="580"/>
      <c r="J85" s="580"/>
      <c r="K85" s="581"/>
      <c r="L85" s="581"/>
      <c r="M85" s="581"/>
      <c r="N85" s="581"/>
      <c r="O85" s="581"/>
      <c r="P85" s="581"/>
      <c r="Q85" s="581"/>
      <c r="R85" s="585"/>
      <c r="S85" s="596"/>
      <c r="T85" s="585"/>
      <c r="U85" s="585"/>
      <c r="V85" s="477"/>
      <c r="W85" s="488"/>
      <c r="Y85" s="613"/>
      <c r="Z85" s="614"/>
      <c r="AA85" s="496"/>
      <c r="AB85" s="614"/>
      <c r="AC85" s="615"/>
    </row>
    <row r="86" spans="1:29" s="138" customFormat="1" ht="15.75" customHeight="1">
      <c r="A86" s="482">
        <v>80</v>
      </c>
      <c r="B86" s="482"/>
      <c r="C86" s="494"/>
      <c r="D86" s="477"/>
      <c r="E86" s="475"/>
      <c r="F86" s="477"/>
      <c r="G86" s="579"/>
      <c r="H86" s="482"/>
      <c r="I86" s="580"/>
      <c r="J86" s="580"/>
      <c r="K86" s="581"/>
      <c r="L86" s="581"/>
      <c r="M86" s="581"/>
      <c r="N86" s="581"/>
      <c r="O86" s="581"/>
      <c r="P86" s="581"/>
      <c r="Q86" s="581"/>
      <c r="R86" s="585"/>
      <c r="S86" s="596"/>
      <c r="T86" s="585"/>
      <c r="U86" s="585"/>
      <c r="V86" s="477"/>
      <c r="W86" s="488"/>
      <c r="Y86" s="613"/>
      <c r="Z86" s="614"/>
      <c r="AA86" s="496"/>
      <c r="AB86" s="614"/>
      <c r="AC86" s="615"/>
    </row>
    <row r="87" spans="1:29" s="138" customFormat="1" ht="15.75" customHeight="1">
      <c r="A87" s="482">
        <v>81</v>
      </c>
      <c r="B87" s="482"/>
      <c r="C87" s="494"/>
      <c r="D87" s="477"/>
      <c r="E87" s="475"/>
      <c r="F87" s="477"/>
      <c r="G87" s="579"/>
      <c r="H87" s="482"/>
      <c r="I87" s="580"/>
      <c r="J87" s="580"/>
      <c r="K87" s="581"/>
      <c r="L87" s="581"/>
      <c r="M87" s="581"/>
      <c r="N87" s="581"/>
      <c r="O87" s="581"/>
      <c r="P87" s="581"/>
      <c r="Q87" s="581"/>
      <c r="R87" s="585"/>
      <c r="S87" s="596"/>
      <c r="T87" s="585"/>
      <c r="U87" s="585"/>
      <c r="V87" s="477"/>
      <c r="W87" s="488"/>
      <c r="Y87" s="613"/>
      <c r="Z87" s="614"/>
      <c r="AA87" s="496"/>
      <c r="AB87" s="614"/>
      <c r="AC87" s="615"/>
    </row>
    <row r="88" spans="1:29" s="138" customFormat="1" ht="15.75" customHeight="1">
      <c r="A88" s="482">
        <v>82</v>
      </c>
      <c r="B88" s="482"/>
      <c r="C88" s="494"/>
      <c r="D88" s="477"/>
      <c r="E88" s="475"/>
      <c r="F88" s="477"/>
      <c r="G88" s="579"/>
      <c r="H88" s="482"/>
      <c r="I88" s="580"/>
      <c r="J88" s="580"/>
      <c r="K88" s="581"/>
      <c r="L88" s="581"/>
      <c r="M88" s="581"/>
      <c r="N88" s="581"/>
      <c r="O88" s="581"/>
      <c r="P88" s="581"/>
      <c r="Q88" s="581"/>
      <c r="R88" s="585"/>
      <c r="S88" s="596"/>
      <c r="T88" s="585"/>
      <c r="U88" s="585"/>
      <c r="V88" s="477"/>
      <c r="W88" s="488"/>
      <c r="Y88" s="613"/>
      <c r="Z88" s="614"/>
      <c r="AA88" s="496"/>
      <c r="AB88" s="614"/>
      <c r="AC88" s="615"/>
    </row>
    <row r="89" spans="1:29" s="138" customFormat="1" ht="15.75" customHeight="1">
      <c r="A89" s="482">
        <v>83</v>
      </c>
      <c r="B89" s="482"/>
      <c r="C89" s="494"/>
      <c r="D89" s="477"/>
      <c r="E89" s="475"/>
      <c r="F89" s="477"/>
      <c r="G89" s="579"/>
      <c r="H89" s="482"/>
      <c r="I89" s="580"/>
      <c r="J89" s="580"/>
      <c r="K89" s="581"/>
      <c r="L89" s="581"/>
      <c r="M89" s="581"/>
      <c r="N89" s="581"/>
      <c r="O89" s="581"/>
      <c r="P89" s="581"/>
      <c r="Q89" s="581"/>
      <c r="R89" s="585"/>
      <c r="S89" s="596"/>
      <c r="T89" s="585"/>
      <c r="U89" s="585"/>
      <c r="V89" s="477"/>
      <c r="W89" s="488"/>
      <c r="Y89" s="613"/>
      <c r="Z89" s="614"/>
      <c r="AA89" s="496"/>
      <c r="AB89" s="614"/>
      <c r="AC89" s="615"/>
    </row>
    <row r="90" spans="1:29" s="138" customFormat="1" ht="15.75" customHeight="1">
      <c r="A90" s="482">
        <v>84</v>
      </c>
      <c r="B90" s="482"/>
      <c r="C90" s="494"/>
      <c r="D90" s="477"/>
      <c r="E90" s="475"/>
      <c r="F90" s="477"/>
      <c r="G90" s="579"/>
      <c r="H90" s="482"/>
      <c r="I90" s="580"/>
      <c r="J90" s="580"/>
      <c r="K90" s="581"/>
      <c r="L90" s="581"/>
      <c r="M90" s="581"/>
      <c r="N90" s="581"/>
      <c r="O90" s="581"/>
      <c r="P90" s="581"/>
      <c r="Q90" s="581"/>
      <c r="R90" s="585"/>
      <c r="S90" s="596"/>
      <c r="T90" s="585"/>
      <c r="U90" s="585"/>
      <c r="V90" s="477"/>
      <c r="W90" s="488"/>
      <c r="Y90" s="613"/>
      <c r="Z90" s="614"/>
      <c r="AA90" s="496"/>
      <c r="AB90" s="614"/>
      <c r="AC90" s="615"/>
    </row>
    <row r="91" spans="1:29" s="138" customFormat="1" ht="15.75" customHeight="1">
      <c r="A91" s="482">
        <v>85</v>
      </c>
      <c r="B91" s="482"/>
      <c r="C91" s="494"/>
      <c r="D91" s="477"/>
      <c r="E91" s="475"/>
      <c r="F91" s="477"/>
      <c r="G91" s="579"/>
      <c r="H91" s="482"/>
      <c r="I91" s="580"/>
      <c r="J91" s="580"/>
      <c r="K91" s="581"/>
      <c r="L91" s="581"/>
      <c r="M91" s="581"/>
      <c r="N91" s="581"/>
      <c r="O91" s="581"/>
      <c r="P91" s="581"/>
      <c r="Q91" s="581"/>
      <c r="R91" s="585"/>
      <c r="S91" s="596"/>
      <c r="T91" s="585"/>
      <c r="U91" s="585"/>
      <c r="V91" s="477"/>
      <c r="W91" s="488"/>
      <c r="Y91" s="613"/>
      <c r="Z91" s="614"/>
      <c r="AA91" s="496"/>
      <c r="AB91" s="614"/>
      <c r="AC91" s="615"/>
    </row>
    <row r="92" spans="1:29" s="138" customFormat="1" ht="15.75" customHeight="1">
      <c r="A92" s="482">
        <v>86</v>
      </c>
      <c r="B92" s="482"/>
      <c r="C92" s="494"/>
      <c r="D92" s="477"/>
      <c r="E92" s="475"/>
      <c r="F92" s="477"/>
      <c r="G92" s="579"/>
      <c r="H92" s="482"/>
      <c r="I92" s="580"/>
      <c r="J92" s="580"/>
      <c r="K92" s="581"/>
      <c r="L92" s="581"/>
      <c r="M92" s="581"/>
      <c r="N92" s="581"/>
      <c r="O92" s="581"/>
      <c r="P92" s="581"/>
      <c r="Q92" s="581"/>
      <c r="R92" s="585"/>
      <c r="S92" s="596"/>
      <c r="T92" s="585"/>
      <c r="U92" s="585"/>
      <c r="V92" s="477"/>
      <c r="W92" s="488"/>
      <c r="Y92" s="613"/>
      <c r="Z92" s="614"/>
      <c r="AA92" s="496"/>
      <c r="AB92" s="614"/>
      <c r="AC92" s="615"/>
    </row>
    <row r="93" spans="1:29" s="138" customFormat="1" ht="15.75" customHeight="1">
      <c r="A93" s="482">
        <v>87</v>
      </c>
      <c r="B93" s="482"/>
      <c r="C93" s="494"/>
      <c r="D93" s="477"/>
      <c r="E93" s="475"/>
      <c r="F93" s="477"/>
      <c r="G93" s="579"/>
      <c r="H93" s="482"/>
      <c r="I93" s="580"/>
      <c r="J93" s="580"/>
      <c r="K93" s="581"/>
      <c r="L93" s="581"/>
      <c r="M93" s="581"/>
      <c r="N93" s="581"/>
      <c r="O93" s="581"/>
      <c r="P93" s="581"/>
      <c r="Q93" s="581"/>
      <c r="R93" s="585"/>
      <c r="S93" s="596"/>
      <c r="T93" s="585"/>
      <c r="U93" s="585"/>
      <c r="V93" s="477"/>
      <c r="W93" s="488"/>
      <c r="Y93" s="613"/>
      <c r="Z93" s="614"/>
      <c r="AA93" s="496"/>
      <c r="AB93" s="614"/>
      <c r="AC93" s="615"/>
    </row>
    <row r="94" spans="1:29" s="138" customFormat="1" ht="15.75" customHeight="1">
      <c r="A94" s="482">
        <v>88</v>
      </c>
      <c r="B94" s="482"/>
      <c r="C94" s="494"/>
      <c r="D94" s="477"/>
      <c r="E94" s="475"/>
      <c r="F94" s="477"/>
      <c r="G94" s="579"/>
      <c r="H94" s="482"/>
      <c r="I94" s="580"/>
      <c r="J94" s="580"/>
      <c r="K94" s="581"/>
      <c r="L94" s="581"/>
      <c r="M94" s="581"/>
      <c r="N94" s="581"/>
      <c r="O94" s="581"/>
      <c r="P94" s="581"/>
      <c r="Q94" s="581"/>
      <c r="R94" s="585"/>
      <c r="S94" s="596"/>
      <c r="T94" s="585"/>
      <c r="U94" s="585"/>
      <c r="V94" s="477"/>
      <c r="W94" s="488"/>
      <c r="Y94" s="613"/>
      <c r="Z94" s="614"/>
      <c r="AA94" s="496"/>
      <c r="AB94" s="614"/>
      <c r="AC94" s="615"/>
    </row>
    <row r="95" spans="1:29" s="138" customFormat="1" ht="15.75" customHeight="1">
      <c r="A95" s="482">
        <v>89</v>
      </c>
      <c r="B95" s="482"/>
      <c r="C95" s="494"/>
      <c r="D95" s="477"/>
      <c r="E95" s="475"/>
      <c r="F95" s="477"/>
      <c r="G95" s="579"/>
      <c r="H95" s="482"/>
      <c r="I95" s="580"/>
      <c r="J95" s="580"/>
      <c r="K95" s="581"/>
      <c r="L95" s="581"/>
      <c r="M95" s="581"/>
      <c r="N95" s="581"/>
      <c r="O95" s="581"/>
      <c r="P95" s="581"/>
      <c r="Q95" s="581"/>
      <c r="R95" s="585"/>
      <c r="S95" s="596"/>
      <c r="T95" s="585"/>
      <c r="U95" s="585"/>
      <c r="V95" s="477"/>
      <c r="W95" s="488"/>
      <c r="Y95" s="613"/>
      <c r="Z95" s="614"/>
      <c r="AA95" s="496"/>
      <c r="AB95" s="614"/>
      <c r="AC95" s="615"/>
    </row>
    <row r="96" spans="1:29" s="138" customFormat="1" ht="15.75" customHeight="1">
      <c r="A96" s="482">
        <v>90</v>
      </c>
      <c r="B96" s="482"/>
      <c r="C96" s="494"/>
      <c r="D96" s="477"/>
      <c r="E96" s="475"/>
      <c r="F96" s="477"/>
      <c r="G96" s="579"/>
      <c r="H96" s="482"/>
      <c r="I96" s="580"/>
      <c r="J96" s="580"/>
      <c r="K96" s="581"/>
      <c r="L96" s="581"/>
      <c r="M96" s="581"/>
      <c r="N96" s="581"/>
      <c r="O96" s="581"/>
      <c r="P96" s="581"/>
      <c r="Q96" s="581"/>
      <c r="R96" s="585"/>
      <c r="S96" s="596"/>
      <c r="T96" s="585"/>
      <c r="U96" s="585"/>
      <c r="V96" s="477"/>
      <c r="W96" s="488"/>
      <c r="Y96" s="613"/>
      <c r="Z96" s="614"/>
      <c r="AA96" s="496"/>
      <c r="AB96" s="614"/>
      <c r="AC96" s="615"/>
    </row>
    <row r="97" spans="1:29" s="138" customFormat="1" ht="15.75" customHeight="1">
      <c r="A97" s="482">
        <v>91</v>
      </c>
      <c r="B97" s="482"/>
      <c r="C97" s="494"/>
      <c r="D97" s="477"/>
      <c r="E97" s="475"/>
      <c r="F97" s="477"/>
      <c r="G97" s="579"/>
      <c r="H97" s="482"/>
      <c r="I97" s="580"/>
      <c r="J97" s="580"/>
      <c r="K97" s="581"/>
      <c r="L97" s="581"/>
      <c r="M97" s="581"/>
      <c r="N97" s="581"/>
      <c r="O97" s="581"/>
      <c r="P97" s="581"/>
      <c r="Q97" s="581"/>
      <c r="R97" s="585"/>
      <c r="S97" s="596"/>
      <c r="T97" s="585"/>
      <c r="U97" s="585"/>
      <c r="V97" s="477"/>
      <c r="W97" s="488"/>
      <c r="Y97" s="613"/>
      <c r="Z97" s="614"/>
      <c r="AA97" s="496"/>
      <c r="AB97" s="614"/>
      <c r="AC97" s="615"/>
    </row>
    <row r="98" spans="1:29" s="138" customFormat="1" ht="15.75" customHeight="1">
      <c r="A98" s="482">
        <v>92</v>
      </c>
      <c r="B98" s="482"/>
      <c r="C98" s="494"/>
      <c r="D98" s="477"/>
      <c r="E98" s="475"/>
      <c r="F98" s="477"/>
      <c r="G98" s="579"/>
      <c r="H98" s="482"/>
      <c r="I98" s="580"/>
      <c r="J98" s="580"/>
      <c r="K98" s="581"/>
      <c r="L98" s="581"/>
      <c r="M98" s="581"/>
      <c r="N98" s="581"/>
      <c r="O98" s="581"/>
      <c r="P98" s="581"/>
      <c r="Q98" s="581"/>
      <c r="R98" s="585"/>
      <c r="S98" s="596"/>
      <c r="T98" s="585"/>
      <c r="U98" s="585"/>
      <c r="V98" s="477"/>
      <c r="W98" s="488"/>
      <c r="Y98" s="613"/>
      <c r="Z98" s="614"/>
      <c r="AA98" s="496"/>
      <c r="AB98" s="614"/>
      <c r="AC98" s="615"/>
    </row>
    <row r="99" spans="1:29" s="138" customFormat="1" ht="15.75" customHeight="1">
      <c r="A99" s="482">
        <v>93</v>
      </c>
      <c r="B99" s="482"/>
      <c r="C99" s="494"/>
      <c r="D99" s="477"/>
      <c r="E99" s="475"/>
      <c r="F99" s="477"/>
      <c r="G99" s="579"/>
      <c r="H99" s="482"/>
      <c r="I99" s="580"/>
      <c r="J99" s="580"/>
      <c r="K99" s="581"/>
      <c r="L99" s="581"/>
      <c r="M99" s="581"/>
      <c r="N99" s="581"/>
      <c r="O99" s="581"/>
      <c r="P99" s="581"/>
      <c r="Q99" s="581"/>
      <c r="R99" s="585"/>
      <c r="S99" s="596"/>
      <c r="T99" s="585"/>
      <c r="U99" s="585"/>
      <c r="V99" s="477"/>
      <c r="W99" s="488"/>
      <c r="Y99" s="613"/>
      <c r="Z99" s="614"/>
      <c r="AA99" s="496"/>
      <c r="AB99" s="614"/>
      <c r="AC99" s="615"/>
    </row>
    <row r="100" spans="1:29" s="138" customFormat="1" ht="15.75" customHeight="1">
      <c r="A100" s="482">
        <v>94</v>
      </c>
      <c r="B100" s="482"/>
      <c r="C100" s="494"/>
      <c r="D100" s="477"/>
      <c r="E100" s="475"/>
      <c r="F100" s="477"/>
      <c r="G100" s="579"/>
      <c r="H100" s="482"/>
      <c r="I100" s="580"/>
      <c r="J100" s="580"/>
      <c r="K100" s="581"/>
      <c r="L100" s="581"/>
      <c r="M100" s="581"/>
      <c r="N100" s="581"/>
      <c r="O100" s="581"/>
      <c r="P100" s="581"/>
      <c r="Q100" s="581"/>
      <c r="R100" s="585"/>
      <c r="S100" s="596"/>
      <c r="T100" s="585"/>
      <c r="U100" s="585"/>
      <c r="V100" s="477"/>
      <c r="W100" s="488"/>
      <c r="Y100" s="613"/>
      <c r="Z100" s="614"/>
      <c r="AA100" s="496"/>
      <c r="AB100" s="614"/>
      <c r="AC100" s="615"/>
    </row>
    <row r="101" spans="1:29" s="138" customFormat="1" ht="15.75" customHeight="1">
      <c r="A101" s="482">
        <v>95</v>
      </c>
      <c r="B101" s="482"/>
      <c r="C101" s="494"/>
      <c r="D101" s="477"/>
      <c r="E101" s="475"/>
      <c r="F101" s="477"/>
      <c r="G101" s="579"/>
      <c r="H101" s="482"/>
      <c r="I101" s="580"/>
      <c r="J101" s="580"/>
      <c r="K101" s="581"/>
      <c r="L101" s="581"/>
      <c r="M101" s="581"/>
      <c r="N101" s="581"/>
      <c r="O101" s="581"/>
      <c r="P101" s="581"/>
      <c r="Q101" s="581"/>
      <c r="R101" s="585"/>
      <c r="S101" s="596"/>
      <c r="T101" s="585"/>
      <c r="U101" s="585"/>
      <c r="V101" s="477"/>
      <c r="W101" s="488"/>
      <c r="Y101" s="613"/>
      <c r="Z101" s="614"/>
      <c r="AA101" s="496"/>
      <c r="AB101" s="614"/>
      <c r="AC101" s="615"/>
    </row>
    <row r="102" spans="1:29" s="138" customFormat="1" ht="15.75" customHeight="1">
      <c r="A102" s="482">
        <v>96</v>
      </c>
      <c r="B102" s="482"/>
      <c r="C102" s="494"/>
      <c r="D102" s="477"/>
      <c r="E102" s="475"/>
      <c r="F102" s="477"/>
      <c r="G102" s="579"/>
      <c r="H102" s="482"/>
      <c r="I102" s="580"/>
      <c r="J102" s="580"/>
      <c r="K102" s="581"/>
      <c r="L102" s="581"/>
      <c r="M102" s="581"/>
      <c r="N102" s="581"/>
      <c r="O102" s="581"/>
      <c r="P102" s="581"/>
      <c r="Q102" s="581"/>
      <c r="R102" s="585"/>
      <c r="S102" s="596"/>
      <c r="T102" s="585"/>
      <c r="U102" s="585"/>
      <c r="V102" s="477"/>
      <c r="W102" s="488"/>
      <c r="Y102" s="613"/>
      <c r="Z102" s="614"/>
      <c r="AA102" s="496"/>
      <c r="AB102" s="614"/>
      <c r="AC102" s="615"/>
    </row>
    <row r="103" spans="1:29" s="138" customFormat="1" ht="15.75" customHeight="1">
      <c r="A103" s="482">
        <v>97</v>
      </c>
      <c r="B103" s="482"/>
      <c r="C103" s="494"/>
      <c r="D103" s="477"/>
      <c r="E103" s="475"/>
      <c r="F103" s="477"/>
      <c r="G103" s="579"/>
      <c r="H103" s="482"/>
      <c r="I103" s="580"/>
      <c r="J103" s="580"/>
      <c r="K103" s="581"/>
      <c r="L103" s="581"/>
      <c r="M103" s="581"/>
      <c r="N103" s="581"/>
      <c r="O103" s="581"/>
      <c r="P103" s="581"/>
      <c r="Q103" s="581"/>
      <c r="R103" s="585"/>
      <c r="S103" s="596"/>
      <c r="T103" s="585"/>
      <c r="U103" s="585"/>
      <c r="V103" s="477"/>
      <c r="W103" s="488"/>
      <c r="Y103" s="613"/>
      <c r="Z103" s="614"/>
      <c r="AA103" s="496"/>
      <c r="AB103" s="614"/>
      <c r="AC103" s="615"/>
    </row>
    <row r="104" spans="1:29" s="138" customFormat="1" ht="15.75" customHeight="1">
      <c r="A104" s="482">
        <v>98</v>
      </c>
      <c r="B104" s="482"/>
      <c r="C104" s="494"/>
      <c r="D104" s="477"/>
      <c r="E104" s="475"/>
      <c r="F104" s="477"/>
      <c r="G104" s="579"/>
      <c r="H104" s="482"/>
      <c r="I104" s="580"/>
      <c r="J104" s="580"/>
      <c r="K104" s="581"/>
      <c r="L104" s="581"/>
      <c r="M104" s="581"/>
      <c r="N104" s="581"/>
      <c r="O104" s="581"/>
      <c r="P104" s="581"/>
      <c r="Q104" s="581"/>
      <c r="R104" s="585"/>
      <c r="S104" s="596"/>
      <c r="T104" s="585"/>
      <c r="U104" s="585"/>
      <c r="V104" s="477"/>
      <c r="W104" s="488"/>
      <c r="Y104" s="613"/>
      <c r="Z104" s="614"/>
      <c r="AA104" s="496"/>
      <c r="AB104" s="614"/>
      <c r="AC104" s="615"/>
    </row>
    <row r="105" spans="1:29" s="138" customFormat="1" ht="15.75" customHeight="1">
      <c r="A105" s="482">
        <v>99</v>
      </c>
      <c r="B105" s="482"/>
      <c r="C105" s="494"/>
      <c r="D105" s="477"/>
      <c r="E105" s="475"/>
      <c r="F105" s="477"/>
      <c r="G105" s="579"/>
      <c r="H105" s="482"/>
      <c r="I105" s="580"/>
      <c r="J105" s="580"/>
      <c r="K105" s="581"/>
      <c r="L105" s="581"/>
      <c r="M105" s="581"/>
      <c r="N105" s="581"/>
      <c r="O105" s="581"/>
      <c r="P105" s="581"/>
      <c r="Q105" s="581"/>
      <c r="R105" s="585"/>
      <c r="S105" s="596"/>
      <c r="T105" s="585"/>
      <c r="U105" s="585"/>
      <c r="V105" s="477"/>
      <c r="W105" s="488"/>
      <c r="Y105" s="613"/>
      <c r="Z105" s="614"/>
      <c r="AA105" s="496"/>
      <c r="AB105" s="614"/>
      <c r="AC105" s="615"/>
    </row>
    <row r="106" spans="1:29" s="138" customFormat="1" ht="15.75" customHeight="1">
      <c r="A106" s="482">
        <v>100</v>
      </c>
      <c r="B106" s="482"/>
      <c r="C106" s="494"/>
      <c r="D106" s="477"/>
      <c r="E106" s="475"/>
      <c r="F106" s="477"/>
      <c r="G106" s="579"/>
      <c r="H106" s="482"/>
      <c r="I106" s="580"/>
      <c r="J106" s="580"/>
      <c r="K106" s="581"/>
      <c r="L106" s="581"/>
      <c r="M106" s="581"/>
      <c r="N106" s="581"/>
      <c r="O106" s="581"/>
      <c r="P106" s="581"/>
      <c r="Q106" s="581"/>
      <c r="R106" s="585"/>
      <c r="S106" s="596"/>
      <c r="T106" s="585"/>
      <c r="U106" s="585"/>
      <c r="V106" s="477"/>
      <c r="W106" s="488"/>
      <c r="Y106" s="613"/>
      <c r="Z106" s="614"/>
      <c r="AA106" s="496"/>
      <c r="AB106" s="614"/>
      <c r="AC106" s="615"/>
    </row>
    <row r="107" spans="1:29" s="138" customFormat="1" ht="15.75" customHeight="1">
      <c r="A107" s="482">
        <v>101</v>
      </c>
      <c r="B107" s="482"/>
      <c r="C107" s="494"/>
      <c r="D107" s="477"/>
      <c r="E107" s="475"/>
      <c r="F107" s="477"/>
      <c r="G107" s="579"/>
      <c r="H107" s="482"/>
      <c r="I107" s="580"/>
      <c r="J107" s="580"/>
      <c r="K107" s="581"/>
      <c r="L107" s="581"/>
      <c r="M107" s="581"/>
      <c r="N107" s="581"/>
      <c r="O107" s="581"/>
      <c r="P107" s="581"/>
      <c r="Q107" s="581"/>
      <c r="R107" s="585"/>
      <c r="S107" s="596"/>
      <c r="T107" s="585"/>
      <c r="U107" s="585"/>
      <c r="V107" s="477"/>
      <c r="W107" s="488"/>
      <c r="Y107" s="613"/>
      <c r="Z107" s="614"/>
      <c r="AA107" s="496"/>
      <c r="AB107" s="614"/>
      <c r="AC107" s="615"/>
    </row>
    <row r="108" spans="1:29" s="138" customFormat="1" ht="15.75" customHeight="1">
      <c r="A108" s="482">
        <v>102</v>
      </c>
      <c r="B108" s="482"/>
      <c r="C108" s="494"/>
      <c r="D108" s="477"/>
      <c r="E108" s="475"/>
      <c r="F108" s="477"/>
      <c r="G108" s="579"/>
      <c r="H108" s="482"/>
      <c r="I108" s="580"/>
      <c r="J108" s="580"/>
      <c r="K108" s="581"/>
      <c r="L108" s="581"/>
      <c r="M108" s="581"/>
      <c r="N108" s="581"/>
      <c r="O108" s="581"/>
      <c r="P108" s="581"/>
      <c r="Q108" s="581"/>
      <c r="R108" s="585"/>
      <c r="S108" s="596"/>
      <c r="T108" s="585"/>
      <c r="U108" s="585"/>
      <c r="V108" s="477"/>
      <c r="W108" s="488"/>
      <c r="Y108" s="613"/>
      <c r="Z108" s="614"/>
      <c r="AA108" s="496"/>
      <c r="AB108" s="614"/>
      <c r="AC108" s="615"/>
    </row>
    <row r="109" spans="1:29" s="138" customFormat="1" ht="15.75" customHeight="1">
      <c r="A109" s="482">
        <v>103</v>
      </c>
      <c r="B109" s="482"/>
      <c r="C109" s="494"/>
      <c r="D109" s="477"/>
      <c r="E109" s="475"/>
      <c r="F109" s="477"/>
      <c r="G109" s="579"/>
      <c r="H109" s="482"/>
      <c r="I109" s="580"/>
      <c r="J109" s="580"/>
      <c r="K109" s="581"/>
      <c r="L109" s="581"/>
      <c r="M109" s="581"/>
      <c r="N109" s="581"/>
      <c r="O109" s="581"/>
      <c r="P109" s="581"/>
      <c r="Q109" s="581"/>
      <c r="R109" s="585"/>
      <c r="S109" s="596"/>
      <c r="T109" s="585"/>
      <c r="U109" s="585"/>
      <c r="V109" s="477"/>
      <c r="W109" s="488"/>
      <c r="Y109" s="613"/>
      <c r="Z109" s="614"/>
      <c r="AA109" s="496"/>
      <c r="AB109" s="614"/>
      <c r="AC109" s="615"/>
    </row>
    <row r="110" spans="1:29" s="138" customFormat="1" ht="15.75" customHeight="1">
      <c r="A110" s="482">
        <v>104</v>
      </c>
      <c r="B110" s="482"/>
      <c r="C110" s="494"/>
      <c r="D110" s="477"/>
      <c r="E110" s="475"/>
      <c r="F110" s="477"/>
      <c r="G110" s="579"/>
      <c r="H110" s="482"/>
      <c r="I110" s="580"/>
      <c r="J110" s="580"/>
      <c r="K110" s="581"/>
      <c r="L110" s="581"/>
      <c r="M110" s="581"/>
      <c r="N110" s="581"/>
      <c r="O110" s="581"/>
      <c r="P110" s="581"/>
      <c r="Q110" s="581"/>
      <c r="R110" s="585"/>
      <c r="S110" s="596"/>
      <c r="T110" s="585"/>
      <c r="U110" s="585"/>
      <c r="V110" s="477"/>
      <c r="W110" s="488"/>
      <c r="Y110" s="613"/>
      <c r="Z110" s="614"/>
      <c r="AA110" s="496"/>
      <c r="AB110" s="614"/>
      <c r="AC110" s="615"/>
    </row>
    <row r="111" spans="1:29" s="138" customFormat="1" ht="15.75" customHeight="1">
      <c r="A111" s="482">
        <v>105</v>
      </c>
      <c r="B111" s="482"/>
      <c r="C111" s="494"/>
      <c r="D111" s="477"/>
      <c r="E111" s="475"/>
      <c r="F111" s="477"/>
      <c r="G111" s="579"/>
      <c r="H111" s="482"/>
      <c r="I111" s="580"/>
      <c r="J111" s="580"/>
      <c r="K111" s="581"/>
      <c r="L111" s="581"/>
      <c r="M111" s="581"/>
      <c r="N111" s="581"/>
      <c r="O111" s="581"/>
      <c r="P111" s="581"/>
      <c r="Q111" s="581"/>
      <c r="R111" s="585"/>
      <c r="S111" s="596"/>
      <c r="T111" s="585"/>
      <c r="U111" s="585"/>
      <c r="V111" s="477"/>
      <c r="W111" s="488"/>
      <c r="Y111" s="613"/>
      <c r="Z111" s="614"/>
      <c r="AA111" s="496"/>
      <c r="AB111" s="614"/>
      <c r="AC111" s="615"/>
    </row>
    <row r="112" spans="1:29" s="138" customFormat="1" ht="15.75" customHeight="1">
      <c r="A112" s="482">
        <v>106</v>
      </c>
      <c r="B112" s="482"/>
      <c r="C112" s="494"/>
      <c r="D112" s="477"/>
      <c r="E112" s="475"/>
      <c r="F112" s="477"/>
      <c r="G112" s="579"/>
      <c r="H112" s="482"/>
      <c r="I112" s="580"/>
      <c r="J112" s="580"/>
      <c r="K112" s="581"/>
      <c r="L112" s="581"/>
      <c r="M112" s="581"/>
      <c r="N112" s="581"/>
      <c r="O112" s="581"/>
      <c r="P112" s="581"/>
      <c r="Q112" s="581"/>
      <c r="R112" s="585"/>
      <c r="S112" s="596"/>
      <c r="T112" s="585"/>
      <c r="U112" s="585"/>
      <c r="V112" s="477"/>
      <c r="W112" s="488"/>
      <c r="Y112" s="613"/>
      <c r="Z112" s="614"/>
      <c r="AA112" s="496"/>
      <c r="AB112" s="614"/>
      <c r="AC112" s="615"/>
    </row>
    <row r="113" spans="1:29" s="138" customFormat="1" ht="15.75" customHeight="1">
      <c r="A113" s="482">
        <v>107</v>
      </c>
      <c r="B113" s="482"/>
      <c r="C113" s="494"/>
      <c r="D113" s="477"/>
      <c r="E113" s="475"/>
      <c r="F113" s="477"/>
      <c r="G113" s="579"/>
      <c r="H113" s="482"/>
      <c r="I113" s="580"/>
      <c r="J113" s="580"/>
      <c r="K113" s="581"/>
      <c r="L113" s="581"/>
      <c r="M113" s="581"/>
      <c r="N113" s="581"/>
      <c r="O113" s="581"/>
      <c r="P113" s="581"/>
      <c r="Q113" s="581"/>
      <c r="R113" s="585"/>
      <c r="S113" s="596"/>
      <c r="T113" s="585"/>
      <c r="U113" s="585"/>
      <c r="V113" s="477"/>
      <c r="W113" s="488"/>
      <c r="Y113" s="613"/>
      <c r="Z113" s="614"/>
      <c r="AA113" s="496"/>
      <c r="AB113" s="614"/>
      <c r="AC113" s="615"/>
    </row>
    <row r="114" spans="1:29" s="138" customFormat="1" ht="15.75" customHeight="1">
      <c r="A114" s="482">
        <v>108</v>
      </c>
      <c r="B114" s="482"/>
      <c r="C114" s="494"/>
      <c r="D114" s="477"/>
      <c r="E114" s="475"/>
      <c r="F114" s="477"/>
      <c r="G114" s="579"/>
      <c r="H114" s="482"/>
      <c r="I114" s="580"/>
      <c r="J114" s="580"/>
      <c r="K114" s="581"/>
      <c r="L114" s="581"/>
      <c r="M114" s="581"/>
      <c r="N114" s="581"/>
      <c r="O114" s="581"/>
      <c r="P114" s="581"/>
      <c r="Q114" s="581"/>
      <c r="R114" s="585"/>
      <c r="S114" s="596"/>
      <c r="T114" s="585"/>
      <c r="U114" s="585"/>
      <c r="V114" s="477"/>
      <c r="W114" s="488"/>
      <c r="Y114" s="613"/>
      <c r="Z114" s="614"/>
      <c r="AA114" s="496"/>
      <c r="AB114" s="614"/>
      <c r="AC114" s="615"/>
    </row>
    <row r="115" spans="1:29" s="138" customFormat="1" ht="15.75" customHeight="1">
      <c r="A115" s="482">
        <v>109</v>
      </c>
      <c r="B115" s="482"/>
      <c r="C115" s="494"/>
      <c r="D115" s="477"/>
      <c r="E115" s="475"/>
      <c r="F115" s="477"/>
      <c r="G115" s="579"/>
      <c r="H115" s="482"/>
      <c r="I115" s="580"/>
      <c r="J115" s="580"/>
      <c r="K115" s="581"/>
      <c r="L115" s="581"/>
      <c r="M115" s="581"/>
      <c r="N115" s="581"/>
      <c r="O115" s="581"/>
      <c r="P115" s="581"/>
      <c r="Q115" s="581"/>
      <c r="R115" s="585"/>
      <c r="S115" s="596"/>
      <c r="T115" s="585"/>
      <c r="U115" s="585"/>
      <c r="V115" s="477"/>
      <c r="W115" s="488"/>
      <c r="Y115" s="613"/>
      <c r="Z115" s="614"/>
      <c r="AA115" s="496"/>
      <c r="AB115" s="614"/>
      <c r="AC115" s="615"/>
    </row>
    <row r="116" spans="1:29" s="138" customFormat="1" ht="15.75" customHeight="1">
      <c r="A116" s="482">
        <v>110</v>
      </c>
      <c r="B116" s="482"/>
      <c r="C116" s="494"/>
      <c r="D116" s="477"/>
      <c r="E116" s="475"/>
      <c r="F116" s="477"/>
      <c r="G116" s="579"/>
      <c r="H116" s="482"/>
      <c r="I116" s="580"/>
      <c r="J116" s="580"/>
      <c r="K116" s="581"/>
      <c r="L116" s="581"/>
      <c r="M116" s="581"/>
      <c r="N116" s="581"/>
      <c r="O116" s="581"/>
      <c r="P116" s="581"/>
      <c r="Q116" s="581"/>
      <c r="R116" s="585"/>
      <c r="S116" s="596"/>
      <c r="T116" s="585"/>
      <c r="U116" s="585"/>
      <c r="V116" s="477"/>
      <c r="W116" s="488"/>
      <c r="Y116" s="613"/>
      <c r="Z116" s="614"/>
      <c r="AA116" s="496"/>
      <c r="AB116" s="614"/>
      <c r="AC116" s="615"/>
    </row>
    <row r="117" spans="1:29" s="138" customFormat="1" ht="15.75" customHeight="1">
      <c r="A117" s="482">
        <v>111</v>
      </c>
      <c r="B117" s="482"/>
      <c r="C117" s="494"/>
      <c r="D117" s="477"/>
      <c r="E117" s="475"/>
      <c r="F117" s="477"/>
      <c r="G117" s="579"/>
      <c r="H117" s="482"/>
      <c r="I117" s="580"/>
      <c r="J117" s="580"/>
      <c r="K117" s="581"/>
      <c r="L117" s="581"/>
      <c r="M117" s="581"/>
      <c r="N117" s="581"/>
      <c r="O117" s="581"/>
      <c r="P117" s="581"/>
      <c r="Q117" s="581"/>
      <c r="R117" s="585"/>
      <c r="S117" s="596"/>
      <c r="T117" s="585"/>
      <c r="U117" s="585"/>
      <c r="V117" s="477"/>
      <c r="W117" s="488"/>
      <c r="Y117" s="613"/>
      <c r="Z117" s="614"/>
      <c r="AA117" s="496"/>
      <c r="AB117" s="614"/>
      <c r="AC117" s="615"/>
    </row>
    <row r="118" spans="1:29" s="138" customFormat="1" ht="15.75" customHeight="1">
      <c r="A118" s="482">
        <v>112</v>
      </c>
      <c r="B118" s="482"/>
      <c r="C118" s="494"/>
      <c r="D118" s="477"/>
      <c r="E118" s="475"/>
      <c r="F118" s="477"/>
      <c r="G118" s="579"/>
      <c r="H118" s="482"/>
      <c r="I118" s="580"/>
      <c r="J118" s="580"/>
      <c r="K118" s="581"/>
      <c r="L118" s="581"/>
      <c r="M118" s="581"/>
      <c r="N118" s="581"/>
      <c r="O118" s="581"/>
      <c r="P118" s="581"/>
      <c r="Q118" s="581"/>
      <c r="R118" s="585"/>
      <c r="S118" s="596"/>
      <c r="T118" s="585"/>
      <c r="U118" s="585"/>
      <c r="V118" s="477"/>
      <c r="W118" s="488"/>
      <c r="Y118" s="613"/>
      <c r="Z118" s="614"/>
      <c r="AA118" s="496"/>
      <c r="AB118" s="614"/>
      <c r="AC118" s="615"/>
    </row>
    <row r="119" spans="1:29" s="138" customFormat="1" ht="15.75" customHeight="1">
      <c r="A119" s="482">
        <v>113</v>
      </c>
      <c r="B119" s="482"/>
      <c r="C119" s="494"/>
      <c r="D119" s="477"/>
      <c r="E119" s="475"/>
      <c r="F119" s="477"/>
      <c r="G119" s="579"/>
      <c r="H119" s="482"/>
      <c r="I119" s="580"/>
      <c r="J119" s="580"/>
      <c r="K119" s="581"/>
      <c r="L119" s="581"/>
      <c r="M119" s="581"/>
      <c r="N119" s="581"/>
      <c r="O119" s="581"/>
      <c r="P119" s="581"/>
      <c r="Q119" s="581"/>
      <c r="R119" s="585"/>
      <c r="S119" s="596"/>
      <c r="T119" s="585"/>
      <c r="U119" s="585"/>
      <c r="V119" s="477"/>
      <c r="W119" s="488"/>
      <c r="Y119" s="613"/>
      <c r="Z119" s="614"/>
      <c r="AA119" s="496"/>
      <c r="AB119" s="614"/>
      <c r="AC119" s="615"/>
    </row>
    <row r="120" spans="1:29" s="138" customFormat="1" ht="15.75" customHeight="1">
      <c r="A120" s="482">
        <v>114</v>
      </c>
      <c r="B120" s="482"/>
      <c r="C120" s="494"/>
      <c r="D120" s="477"/>
      <c r="E120" s="475"/>
      <c r="F120" s="477"/>
      <c r="G120" s="579"/>
      <c r="H120" s="482"/>
      <c r="I120" s="580"/>
      <c r="J120" s="580"/>
      <c r="K120" s="581"/>
      <c r="L120" s="581"/>
      <c r="M120" s="581"/>
      <c r="N120" s="581"/>
      <c r="O120" s="581"/>
      <c r="P120" s="581"/>
      <c r="Q120" s="581"/>
      <c r="R120" s="585"/>
      <c r="S120" s="596"/>
      <c r="T120" s="585"/>
      <c r="U120" s="585"/>
      <c r="V120" s="477"/>
      <c r="W120" s="488"/>
      <c r="Y120" s="613"/>
      <c r="Z120" s="614"/>
      <c r="AA120" s="496"/>
      <c r="AB120" s="614"/>
      <c r="AC120" s="615"/>
    </row>
    <row r="121" spans="1:29" s="138" customFormat="1" ht="15.75" customHeight="1">
      <c r="A121" s="482">
        <v>115</v>
      </c>
      <c r="B121" s="482"/>
      <c r="C121" s="494"/>
      <c r="D121" s="477"/>
      <c r="E121" s="475"/>
      <c r="F121" s="477"/>
      <c r="G121" s="579"/>
      <c r="H121" s="482"/>
      <c r="I121" s="580"/>
      <c r="J121" s="580"/>
      <c r="K121" s="581"/>
      <c r="L121" s="581"/>
      <c r="M121" s="581"/>
      <c r="N121" s="581"/>
      <c r="O121" s="581"/>
      <c r="P121" s="581"/>
      <c r="Q121" s="581"/>
      <c r="R121" s="585"/>
      <c r="S121" s="596"/>
      <c r="T121" s="585"/>
      <c r="U121" s="585"/>
      <c r="V121" s="477"/>
      <c r="W121" s="488"/>
      <c r="Y121" s="613"/>
      <c r="Z121" s="614"/>
      <c r="AA121" s="496"/>
      <c r="AB121" s="614"/>
      <c r="AC121" s="615"/>
    </row>
    <row r="122" spans="1:29" s="138" customFormat="1" ht="15.75" customHeight="1">
      <c r="A122" s="482">
        <v>116</v>
      </c>
      <c r="B122" s="482"/>
      <c r="C122" s="494"/>
      <c r="D122" s="477"/>
      <c r="E122" s="475"/>
      <c r="F122" s="477"/>
      <c r="G122" s="579"/>
      <c r="H122" s="482"/>
      <c r="I122" s="580"/>
      <c r="J122" s="580"/>
      <c r="K122" s="581"/>
      <c r="L122" s="581"/>
      <c r="M122" s="581"/>
      <c r="N122" s="581"/>
      <c r="O122" s="581"/>
      <c r="P122" s="581"/>
      <c r="Q122" s="581"/>
      <c r="R122" s="585"/>
      <c r="S122" s="596"/>
      <c r="T122" s="585"/>
      <c r="U122" s="585"/>
      <c r="V122" s="477"/>
      <c r="W122" s="488"/>
      <c r="Y122" s="613"/>
      <c r="Z122" s="614"/>
      <c r="AA122" s="496"/>
      <c r="AB122" s="614"/>
      <c r="AC122" s="615"/>
    </row>
    <row r="123" spans="1:29" s="138" customFormat="1" ht="15.75" customHeight="1">
      <c r="A123" s="482">
        <v>117</v>
      </c>
      <c r="B123" s="482"/>
      <c r="C123" s="494"/>
      <c r="D123" s="477"/>
      <c r="E123" s="475"/>
      <c r="F123" s="477"/>
      <c r="G123" s="579"/>
      <c r="H123" s="482"/>
      <c r="I123" s="580"/>
      <c r="J123" s="580"/>
      <c r="K123" s="581"/>
      <c r="L123" s="581"/>
      <c r="M123" s="581"/>
      <c r="N123" s="581"/>
      <c r="O123" s="581"/>
      <c r="P123" s="581"/>
      <c r="Q123" s="581"/>
      <c r="R123" s="585"/>
      <c r="S123" s="596"/>
      <c r="T123" s="585"/>
      <c r="U123" s="585"/>
      <c r="V123" s="477"/>
      <c r="W123" s="488"/>
      <c r="Y123" s="613"/>
      <c r="Z123" s="614"/>
      <c r="AA123" s="496"/>
      <c r="AB123" s="614"/>
      <c r="AC123" s="615"/>
    </row>
    <row r="124" spans="1:29" s="138" customFormat="1" ht="15.75" customHeight="1">
      <c r="A124" s="482">
        <v>118</v>
      </c>
      <c r="B124" s="482"/>
      <c r="C124" s="494"/>
      <c r="D124" s="477"/>
      <c r="E124" s="475"/>
      <c r="F124" s="477"/>
      <c r="G124" s="579"/>
      <c r="H124" s="482"/>
      <c r="I124" s="580"/>
      <c r="J124" s="580"/>
      <c r="K124" s="581"/>
      <c r="L124" s="581"/>
      <c r="M124" s="581"/>
      <c r="N124" s="581"/>
      <c r="O124" s="581"/>
      <c r="P124" s="581"/>
      <c r="Q124" s="581"/>
      <c r="R124" s="585"/>
      <c r="S124" s="596"/>
      <c r="T124" s="585"/>
      <c r="U124" s="585"/>
      <c r="V124" s="477"/>
      <c r="W124" s="488"/>
      <c r="Y124" s="613"/>
      <c r="Z124" s="614"/>
      <c r="AA124" s="496"/>
      <c r="AB124" s="614"/>
      <c r="AC124" s="615"/>
    </row>
    <row r="125" spans="1:29" s="138" customFormat="1" ht="15.75" customHeight="1">
      <c r="A125" s="482">
        <v>119</v>
      </c>
      <c r="B125" s="482"/>
      <c r="C125" s="494"/>
      <c r="D125" s="477"/>
      <c r="E125" s="475"/>
      <c r="F125" s="477"/>
      <c r="G125" s="579"/>
      <c r="H125" s="482"/>
      <c r="I125" s="580"/>
      <c r="J125" s="580"/>
      <c r="K125" s="581"/>
      <c r="L125" s="581"/>
      <c r="M125" s="581"/>
      <c r="N125" s="581"/>
      <c r="O125" s="581"/>
      <c r="P125" s="581"/>
      <c r="Q125" s="581"/>
      <c r="R125" s="585"/>
      <c r="S125" s="596"/>
      <c r="T125" s="585"/>
      <c r="U125" s="585"/>
      <c r="V125" s="477"/>
      <c r="W125" s="488"/>
      <c r="Y125" s="613"/>
      <c r="Z125" s="614"/>
      <c r="AA125" s="496"/>
      <c r="AB125" s="614"/>
      <c r="AC125" s="615"/>
    </row>
    <row r="126" spans="1:29" s="138" customFormat="1" ht="15.75" customHeight="1">
      <c r="A126" s="482">
        <v>120</v>
      </c>
      <c r="B126" s="482"/>
      <c r="C126" s="494"/>
      <c r="D126" s="477"/>
      <c r="E126" s="475"/>
      <c r="F126" s="477"/>
      <c r="G126" s="579"/>
      <c r="H126" s="482"/>
      <c r="I126" s="580"/>
      <c r="J126" s="580"/>
      <c r="K126" s="581"/>
      <c r="L126" s="581"/>
      <c r="M126" s="581"/>
      <c r="N126" s="581"/>
      <c r="O126" s="581"/>
      <c r="P126" s="581"/>
      <c r="Q126" s="581"/>
      <c r="R126" s="585"/>
      <c r="S126" s="596"/>
      <c r="T126" s="585"/>
      <c r="U126" s="585"/>
      <c r="V126" s="477"/>
      <c r="W126" s="488"/>
      <c r="Y126" s="613"/>
      <c r="Z126" s="614"/>
      <c r="AA126" s="496"/>
      <c r="AB126" s="614"/>
      <c r="AC126" s="615"/>
    </row>
    <row r="127" spans="1:29" s="138" customFormat="1" ht="15.75" customHeight="1">
      <c r="A127" s="482">
        <v>121</v>
      </c>
      <c r="B127" s="482"/>
      <c r="C127" s="494"/>
      <c r="D127" s="477"/>
      <c r="E127" s="475"/>
      <c r="F127" s="477"/>
      <c r="G127" s="579"/>
      <c r="H127" s="482"/>
      <c r="I127" s="580"/>
      <c r="J127" s="580"/>
      <c r="K127" s="581"/>
      <c r="L127" s="581"/>
      <c r="M127" s="581"/>
      <c r="N127" s="581"/>
      <c r="O127" s="581"/>
      <c r="P127" s="581"/>
      <c r="Q127" s="581"/>
      <c r="R127" s="585"/>
      <c r="S127" s="596"/>
      <c r="T127" s="585"/>
      <c r="U127" s="585"/>
      <c r="V127" s="477"/>
      <c r="W127" s="488"/>
      <c r="Y127" s="613"/>
      <c r="Z127" s="614"/>
      <c r="AA127" s="496"/>
      <c r="AB127" s="614"/>
      <c r="AC127" s="615"/>
    </row>
    <row r="128" spans="1:29" s="138" customFormat="1" ht="15.75" customHeight="1">
      <c r="A128" s="482"/>
      <c r="B128" s="482"/>
      <c r="C128" s="494"/>
      <c r="D128" s="477"/>
      <c r="E128" s="475"/>
      <c r="F128" s="477"/>
      <c r="G128" s="579"/>
      <c r="H128" s="482"/>
      <c r="I128" s="580"/>
      <c r="J128" s="580"/>
      <c r="K128" s="581"/>
      <c r="L128" s="581"/>
      <c r="M128" s="581"/>
      <c r="N128" s="581"/>
      <c r="O128" s="581"/>
      <c r="P128" s="581"/>
      <c r="Q128" s="581"/>
      <c r="R128" s="585"/>
      <c r="S128" s="596"/>
      <c r="T128" s="585"/>
      <c r="U128" s="585"/>
      <c r="V128" s="477"/>
      <c r="W128" s="488"/>
      <c r="Y128" s="613"/>
      <c r="Z128" s="614"/>
      <c r="AA128" s="496"/>
      <c r="AB128" s="614"/>
      <c r="AC128" s="615"/>
    </row>
    <row r="129" spans="1:29" s="138" customFormat="1" ht="15.75" customHeight="1">
      <c r="A129" s="482"/>
      <c r="B129" s="482"/>
      <c r="C129" s="494"/>
      <c r="D129" s="477"/>
      <c r="E129" s="475"/>
      <c r="F129" s="477"/>
      <c r="G129" s="579"/>
      <c r="H129" s="482"/>
      <c r="I129" s="580"/>
      <c r="J129" s="580"/>
      <c r="K129" s="581"/>
      <c r="L129" s="581"/>
      <c r="M129" s="581"/>
      <c r="N129" s="581"/>
      <c r="O129" s="581"/>
      <c r="P129" s="581"/>
      <c r="Q129" s="581"/>
      <c r="R129" s="585"/>
      <c r="S129" s="596"/>
      <c r="T129" s="585"/>
      <c r="U129" s="585"/>
      <c r="V129" s="477"/>
      <c r="W129" s="488"/>
      <c r="Y129" s="613"/>
      <c r="Z129" s="614"/>
      <c r="AA129" s="496"/>
      <c r="AB129" s="614"/>
      <c r="AC129" s="615"/>
    </row>
    <row r="130" spans="1:29" ht="15.75" customHeight="1">
      <c r="A130" s="883" t="s">
        <v>54</v>
      </c>
      <c r="B130" s="884"/>
      <c r="C130" s="885"/>
      <c r="D130" s="474"/>
      <c r="E130" s="475"/>
      <c r="F130" s="474"/>
      <c r="G130" s="468"/>
      <c r="H130" s="468"/>
      <c r="I130" s="588"/>
      <c r="J130" s="588"/>
      <c r="K130" s="582">
        <f>SUM(K7:K129)</f>
        <v>0</v>
      </c>
      <c r="L130" s="582">
        <f>SUM(L7:L129)</f>
        <v>0</v>
      </c>
      <c r="M130" s="582"/>
      <c r="N130" s="582"/>
      <c r="O130" s="582"/>
      <c r="P130" s="582">
        <f>SUM(P7:P129)</f>
        <v>0</v>
      </c>
      <c r="Q130" s="582">
        <f>SUM(Q7:Q129)</f>
        <v>0</v>
      </c>
      <c r="R130" s="582">
        <f>SUM(R7:R129)</f>
        <v>0</v>
      </c>
      <c r="S130" s="582"/>
      <c r="T130" s="582"/>
      <c r="U130" s="582" t="str">
        <f>IF(Q130=0,"",(T130-Q130)/Q130*100)</f>
        <v/>
      </c>
      <c r="V130" s="522"/>
      <c r="W130" s="490"/>
    </row>
    <row r="131" spans="1:29" ht="15.75" customHeight="1">
      <c r="A131" s="101" t="e">
        <f>#REF!&amp;#REF!</f>
        <v>#REF!</v>
      </c>
      <c r="P131" s="101" t="e">
        <f>"评估人员："&amp;#REF!</f>
        <v>#REF!</v>
      </c>
    </row>
    <row r="132" spans="1:29" ht="15.75" customHeight="1">
      <c r="A132" s="101" t="e">
        <f>CONCATENATE(#REF!,#REF!,#REF!,#REF!,#REF!,#REF!,#REF!)</f>
        <v>#REF!</v>
      </c>
    </row>
    <row r="133" spans="1:29" ht="15.75" customHeight="1">
      <c r="P133" s="469"/>
      <c r="Q133" s="469"/>
    </row>
  </sheetData>
  <autoFilter ref="A6:AF11">
    <sortState ref="A8:AG89">
      <sortCondition ref="A6:A89"/>
    </sortState>
  </autoFilter>
  <mergeCells count="26">
    <mergeCell ref="A3:V3"/>
    <mergeCell ref="V5:V6"/>
    <mergeCell ref="A2:V2"/>
    <mergeCell ref="P5:Q5"/>
    <mergeCell ref="R5:T5"/>
    <mergeCell ref="U5:U6"/>
    <mergeCell ref="F5:F6"/>
    <mergeCell ref="N5:O5"/>
    <mergeCell ref="A130:C130"/>
    <mergeCell ref="I5:I6"/>
    <mergeCell ref="J5:J6"/>
    <mergeCell ref="A5:A6"/>
    <mergeCell ref="B5:B6"/>
    <mergeCell ref="C5:C6"/>
    <mergeCell ref="G5:G6"/>
    <mergeCell ref="D5:D6"/>
    <mergeCell ref="E5:E6"/>
    <mergeCell ref="H5:H6"/>
    <mergeCell ref="W5:W6"/>
    <mergeCell ref="K5:M5"/>
    <mergeCell ref="X4:AC4"/>
    <mergeCell ref="AC5:AC6"/>
    <mergeCell ref="X5:X6"/>
    <mergeCell ref="Z5:Z6"/>
    <mergeCell ref="AA5:AA6"/>
    <mergeCell ref="Y5:Y6"/>
  </mergeCells>
  <phoneticPr fontId="6" type="noConversion"/>
  <hyperlinks>
    <hyperlink ref="A1" location="索引目录!E40" display="电子设备"/>
    <hyperlink ref="B1" location="固定资产汇总!B14" display="固定资产-电子设备"/>
  </hyperlinks>
  <printOptions horizontalCentered="1"/>
  <pageMargins left="0.35433070866141736" right="0.35433070866141736" top="0.78740157480314965" bottom="0.78740157480314965" header="1.02" footer="0.51181102362204722"/>
  <pageSetup paperSize="9" scale="70" fitToHeight="0" orientation="landscape" horizontalDpi="4294967292" r:id="rId1"/>
  <headerFooter alignWithMargins="0">
    <oddHeader>&amp;R&amp;"宋体,常规"&amp;10表&amp;"Times New Roman,常规"4-6-6
&amp;"宋体,常规"共&amp;"Times New Roman,常规"&amp;N&amp;"宋体,常规"页第&amp;"Times New Roman,常规"&amp;P&amp;"宋体,常规"页</oddHeader>
  </headerFooter>
  <ignoredErrors>
    <ignoredError sqref="T7" evalError="1"/>
  </ignoredErrors>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1">
    <pageSetUpPr fitToPage="1"/>
  </sheetPr>
  <dimension ref="A1:T30"/>
  <sheetViews>
    <sheetView workbookViewId="0">
      <selection activeCell="H10" sqref="H10"/>
    </sheetView>
  </sheetViews>
  <sheetFormatPr defaultRowHeight="15.75" customHeight="1" outlineLevelCol="1"/>
  <cols>
    <col min="1" max="1" width="5.25" style="4" customWidth="1"/>
    <col min="2" max="2" width="6.875" style="4" customWidth="1"/>
    <col min="3" max="3" width="9.625" style="4" customWidth="1"/>
    <col min="4" max="4" width="10.5" style="4" customWidth="1"/>
    <col min="5" max="6" width="5.375" style="4" customWidth="1"/>
    <col min="7" max="8" width="5.125" style="4" customWidth="1"/>
    <col min="9" max="9" width="8" style="4" customWidth="1"/>
    <col min="10" max="13" width="13" style="4" customWidth="1" outlineLevel="1"/>
    <col min="14" max="17" width="13" style="4" customWidth="1"/>
    <col min="18" max="18" width="7.625" style="4" customWidth="1"/>
    <col min="19" max="19" width="5" style="4" customWidth="1"/>
    <col min="20" max="20" width="13.125" style="4" customWidth="1" outlineLevel="1"/>
    <col min="21" max="16384" width="9" style="4"/>
  </cols>
  <sheetData>
    <row r="1" spans="1:20" ht="14.25">
      <c r="A1" s="272" t="s">
        <v>130</v>
      </c>
      <c r="B1" s="196" t="s">
        <v>131</v>
      </c>
      <c r="C1" s="1"/>
      <c r="D1" s="1"/>
      <c r="E1" s="1"/>
      <c r="F1" s="1"/>
      <c r="G1" s="1"/>
      <c r="H1" s="1"/>
      <c r="I1" s="1"/>
      <c r="J1" s="1"/>
      <c r="K1" s="1"/>
      <c r="L1" s="1"/>
      <c r="M1" s="1"/>
      <c r="N1" s="1"/>
      <c r="O1" s="1"/>
      <c r="P1" s="1"/>
      <c r="Q1" s="1"/>
      <c r="R1" s="1"/>
      <c r="S1" s="1"/>
    </row>
    <row r="2" spans="1:20" s="114" customFormat="1" ht="30" customHeight="1">
      <c r="A2" s="790" t="s">
        <v>879</v>
      </c>
      <c r="B2" s="791"/>
      <c r="C2" s="791"/>
      <c r="D2" s="791"/>
      <c r="E2" s="791"/>
      <c r="F2" s="791"/>
      <c r="G2" s="791"/>
      <c r="H2" s="791"/>
      <c r="I2" s="791"/>
      <c r="J2" s="791"/>
      <c r="K2" s="791"/>
      <c r="L2" s="791"/>
      <c r="M2" s="791"/>
      <c r="N2" s="791"/>
      <c r="O2" s="791"/>
      <c r="P2" s="791"/>
      <c r="Q2" s="791"/>
      <c r="R2" s="791"/>
      <c r="S2" s="791"/>
    </row>
    <row r="3" spans="1:20" ht="14.1" customHeight="1">
      <c r="A3" s="792" t="e">
        <f>CONCATENATE(#REF!,#REF!,#REF!,#REF!,#REF!,#REF!,#REF!)</f>
        <v>#REF!</v>
      </c>
      <c r="B3" s="792"/>
      <c r="C3" s="792"/>
      <c r="D3" s="792"/>
      <c r="E3" s="792"/>
      <c r="F3" s="792"/>
      <c r="G3" s="792"/>
      <c r="H3" s="792"/>
      <c r="I3" s="808"/>
      <c r="J3" s="808"/>
      <c r="K3" s="808"/>
      <c r="L3" s="808"/>
      <c r="M3" s="808"/>
      <c r="N3" s="808"/>
      <c r="O3" s="808"/>
      <c r="P3" s="808"/>
      <c r="Q3" s="808"/>
      <c r="R3" s="808"/>
      <c r="S3" s="808"/>
    </row>
    <row r="4" spans="1:20" ht="15.75" customHeight="1">
      <c r="A4" s="115" t="e">
        <f>#REF!&amp;#REF!</f>
        <v>#REF!</v>
      </c>
      <c r="S4" s="106" t="s">
        <v>3</v>
      </c>
    </row>
    <row r="5" spans="1:20" s="1" customFormat="1" ht="15.75" customHeight="1">
      <c r="A5" s="817" t="s">
        <v>4</v>
      </c>
      <c r="B5" s="817" t="s">
        <v>244</v>
      </c>
      <c r="C5" s="843" t="s">
        <v>83</v>
      </c>
      <c r="D5" s="817" t="s">
        <v>245</v>
      </c>
      <c r="E5" s="817" t="s">
        <v>242</v>
      </c>
      <c r="F5" s="817" t="s">
        <v>246</v>
      </c>
      <c r="G5" s="817" t="s">
        <v>247</v>
      </c>
      <c r="H5" s="817" t="s">
        <v>248</v>
      </c>
      <c r="I5" s="817" t="s">
        <v>249</v>
      </c>
      <c r="J5" s="986" t="s">
        <v>426</v>
      </c>
      <c r="K5" s="987"/>
      <c r="L5" s="916" t="s">
        <v>710</v>
      </c>
      <c r="M5" s="917"/>
      <c r="N5" s="837" t="s">
        <v>315</v>
      </c>
      <c r="O5" s="838"/>
      <c r="P5" s="821" t="s">
        <v>0</v>
      </c>
      <c r="Q5" s="823"/>
      <c r="R5" s="817" t="s">
        <v>20</v>
      </c>
      <c r="S5" s="817" t="s">
        <v>72</v>
      </c>
      <c r="T5" s="815" t="s">
        <v>423</v>
      </c>
    </row>
    <row r="6" spans="1:20" s="1" customFormat="1" ht="12.75">
      <c r="A6" s="827"/>
      <c r="B6" s="827"/>
      <c r="C6" s="844"/>
      <c r="D6" s="827"/>
      <c r="E6" s="827"/>
      <c r="F6" s="827"/>
      <c r="G6" s="827"/>
      <c r="H6" s="827"/>
      <c r="I6" s="827"/>
      <c r="J6" s="102" t="s">
        <v>270</v>
      </c>
      <c r="K6" s="102" t="s">
        <v>271</v>
      </c>
      <c r="L6" s="102" t="s">
        <v>270</v>
      </c>
      <c r="M6" s="102" t="s">
        <v>271</v>
      </c>
      <c r="N6" s="102" t="s">
        <v>270</v>
      </c>
      <c r="O6" s="102" t="s">
        <v>271</v>
      </c>
      <c r="P6" s="102" t="s">
        <v>270</v>
      </c>
      <c r="Q6" s="102" t="s">
        <v>271</v>
      </c>
      <c r="R6" s="827"/>
      <c r="S6" s="827"/>
      <c r="T6" s="816"/>
    </row>
    <row r="7" spans="1:20" ht="15.75" customHeight="1">
      <c r="A7" s="105"/>
      <c r="B7" s="105"/>
      <c r="C7" s="201"/>
      <c r="D7" s="128"/>
      <c r="E7" s="121"/>
      <c r="F7" s="105"/>
      <c r="G7" s="105"/>
      <c r="H7" s="105"/>
      <c r="I7" s="142"/>
      <c r="J7" s="142"/>
      <c r="K7" s="142"/>
      <c r="L7" s="142"/>
      <c r="M7" s="142"/>
      <c r="N7" s="142"/>
      <c r="O7" s="142"/>
      <c r="P7" s="142"/>
      <c r="Q7" s="142"/>
      <c r="R7" s="142" t="str">
        <f>IF(O7=0,"",(Q7-O7)/O7*100)</f>
        <v/>
      </c>
      <c r="S7" s="120"/>
      <c r="T7" s="120"/>
    </row>
    <row r="8" spans="1:20" ht="15.75" customHeight="1">
      <c r="A8" s="105"/>
      <c r="B8" s="105"/>
      <c r="C8" s="201"/>
      <c r="D8" s="128"/>
      <c r="E8" s="121"/>
      <c r="F8" s="105"/>
      <c r="G8" s="105"/>
      <c r="H8" s="105"/>
      <c r="I8" s="142"/>
      <c r="J8" s="142"/>
      <c r="K8" s="142"/>
      <c r="L8" s="142"/>
      <c r="M8" s="142"/>
      <c r="N8" s="142"/>
      <c r="O8" s="142"/>
      <c r="P8" s="142"/>
      <c r="Q8" s="142"/>
      <c r="R8" s="142" t="str">
        <f t="shared" ref="R8:R26" si="0">IF(O8=0,"",(Q8-O8)/O8*100)</f>
        <v/>
      </c>
      <c r="S8" s="120"/>
      <c r="T8" s="120"/>
    </row>
    <row r="9" spans="1:20" ht="15.75" customHeight="1">
      <c r="A9" s="105"/>
      <c r="B9" s="105"/>
      <c r="C9" s="201"/>
      <c r="D9" s="128"/>
      <c r="E9" s="121"/>
      <c r="F9" s="105"/>
      <c r="G9" s="105"/>
      <c r="H9" s="105"/>
      <c r="I9" s="142"/>
      <c r="J9" s="142"/>
      <c r="K9" s="142"/>
      <c r="L9" s="142"/>
      <c r="M9" s="142"/>
      <c r="N9" s="142"/>
      <c r="O9" s="142"/>
      <c r="P9" s="142"/>
      <c r="Q9" s="142"/>
      <c r="R9" s="142" t="str">
        <f t="shared" si="0"/>
        <v/>
      </c>
      <c r="S9" s="120"/>
      <c r="T9" s="120"/>
    </row>
    <row r="10" spans="1:20" ht="15.75" customHeight="1">
      <c r="A10" s="105"/>
      <c r="B10" s="105"/>
      <c r="C10" s="201"/>
      <c r="D10" s="128"/>
      <c r="E10" s="121"/>
      <c r="F10" s="105"/>
      <c r="G10" s="105"/>
      <c r="H10" s="105"/>
      <c r="I10" s="142"/>
      <c r="J10" s="142"/>
      <c r="K10" s="142"/>
      <c r="L10" s="142"/>
      <c r="M10" s="142"/>
      <c r="N10" s="142"/>
      <c r="O10" s="142"/>
      <c r="P10" s="142"/>
      <c r="Q10" s="142"/>
      <c r="R10" s="142" t="str">
        <f t="shared" si="0"/>
        <v/>
      </c>
      <c r="S10" s="120"/>
      <c r="T10" s="120"/>
    </row>
    <row r="11" spans="1:20" ht="15.75" customHeight="1">
      <c r="A11" s="105"/>
      <c r="B11" s="105"/>
      <c r="C11" s="201"/>
      <c r="D11" s="128"/>
      <c r="E11" s="121"/>
      <c r="F11" s="105"/>
      <c r="G11" s="105"/>
      <c r="H11" s="105"/>
      <c r="I11" s="142"/>
      <c r="J11" s="142"/>
      <c r="K11" s="142"/>
      <c r="L11" s="142"/>
      <c r="M11" s="142"/>
      <c r="N11" s="142"/>
      <c r="O11" s="142"/>
      <c r="P11" s="142"/>
      <c r="Q11" s="142"/>
      <c r="R11" s="142" t="str">
        <f t="shared" si="0"/>
        <v/>
      </c>
      <c r="S11" s="120"/>
      <c r="T11" s="120"/>
    </row>
    <row r="12" spans="1:20" ht="15.75" customHeight="1">
      <c r="A12" s="105"/>
      <c r="B12" s="105"/>
      <c r="C12" s="201"/>
      <c r="D12" s="128"/>
      <c r="E12" s="121"/>
      <c r="F12" s="105"/>
      <c r="G12" s="105"/>
      <c r="H12" s="105"/>
      <c r="I12" s="142"/>
      <c r="J12" s="142"/>
      <c r="K12" s="142"/>
      <c r="L12" s="142"/>
      <c r="M12" s="142"/>
      <c r="N12" s="142"/>
      <c r="O12" s="142"/>
      <c r="P12" s="142"/>
      <c r="Q12" s="142"/>
      <c r="R12" s="142" t="str">
        <f t="shared" si="0"/>
        <v/>
      </c>
      <c r="S12" s="120"/>
      <c r="T12" s="120"/>
    </row>
    <row r="13" spans="1:20" ht="15.75" customHeight="1">
      <c r="A13" s="105"/>
      <c r="B13" s="105"/>
      <c r="C13" s="201"/>
      <c r="D13" s="128"/>
      <c r="E13" s="121"/>
      <c r="F13" s="105"/>
      <c r="G13" s="105"/>
      <c r="H13" s="105"/>
      <c r="I13" s="142"/>
      <c r="J13" s="142"/>
      <c r="K13" s="142"/>
      <c r="L13" s="142"/>
      <c r="M13" s="142"/>
      <c r="N13" s="142"/>
      <c r="O13" s="142"/>
      <c r="P13" s="142"/>
      <c r="Q13" s="142"/>
      <c r="R13" s="142" t="str">
        <f t="shared" si="0"/>
        <v/>
      </c>
      <c r="S13" s="120"/>
      <c r="T13" s="120"/>
    </row>
    <row r="14" spans="1:20" ht="15.75" customHeight="1">
      <c r="A14" s="105"/>
      <c r="B14" s="105"/>
      <c r="C14" s="201"/>
      <c r="D14" s="128"/>
      <c r="E14" s="121"/>
      <c r="F14" s="105"/>
      <c r="G14" s="105"/>
      <c r="H14" s="105"/>
      <c r="I14" s="142"/>
      <c r="J14" s="142"/>
      <c r="K14" s="142"/>
      <c r="L14" s="142"/>
      <c r="M14" s="142"/>
      <c r="N14" s="142"/>
      <c r="O14" s="142"/>
      <c r="P14" s="142"/>
      <c r="Q14" s="142"/>
      <c r="R14" s="142" t="str">
        <f t="shared" si="0"/>
        <v/>
      </c>
      <c r="S14" s="120"/>
      <c r="T14" s="120"/>
    </row>
    <row r="15" spans="1:20" ht="15.75" customHeight="1">
      <c r="A15" s="105"/>
      <c r="B15" s="105"/>
      <c r="C15" s="201"/>
      <c r="D15" s="128"/>
      <c r="E15" s="121"/>
      <c r="F15" s="105"/>
      <c r="G15" s="105"/>
      <c r="H15" s="105"/>
      <c r="I15" s="142"/>
      <c r="J15" s="142"/>
      <c r="K15" s="142"/>
      <c r="L15" s="142"/>
      <c r="M15" s="142"/>
      <c r="N15" s="142"/>
      <c r="O15" s="142"/>
      <c r="P15" s="142"/>
      <c r="Q15" s="142"/>
      <c r="R15" s="142" t="str">
        <f t="shared" si="0"/>
        <v/>
      </c>
      <c r="S15" s="120"/>
      <c r="T15" s="120"/>
    </row>
    <row r="16" spans="1:20" ht="15.75" customHeight="1">
      <c r="A16" s="105"/>
      <c r="B16" s="105"/>
      <c r="C16" s="201"/>
      <c r="D16" s="128"/>
      <c r="E16" s="121"/>
      <c r="F16" s="105"/>
      <c r="G16" s="105"/>
      <c r="H16" s="105"/>
      <c r="I16" s="142"/>
      <c r="J16" s="142"/>
      <c r="K16" s="142"/>
      <c r="L16" s="142"/>
      <c r="M16" s="142"/>
      <c r="N16" s="142"/>
      <c r="O16" s="142"/>
      <c r="P16" s="142"/>
      <c r="Q16" s="142"/>
      <c r="R16" s="142" t="str">
        <f t="shared" si="0"/>
        <v/>
      </c>
      <c r="S16" s="120"/>
      <c r="T16" s="120"/>
    </row>
    <row r="17" spans="1:20" ht="15.75" customHeight="1">
      <c r="A17" s="105"/>
      <c r="B17" s="105"/>
      <c r="C17" s="201"/>
      <c r="D17" s="128"/>
      <c r="E17" s="121"/>
      <c r="F17" s="105"/>
      <c r="G17" s="105"/>
      <c r="H17" s="105"/>
      <c r="I17" s="142"/>
      <c r="J17" s="142"/>
      <c r="K17" s="142"/>
      <c r="L17" s="142"/>
      <c r="M17" s="142"/>
      <c r="N17" s="142"/>
      <c r="O17" s="142"/>
      <c r="P17" s="142"/>
      <c r="Q17" s="142"/>
      <c r="R17" s="142" t="str">
        <f t="shared" si="0"/>
        <v/>
      </c>
      <c r="S17" s="120"/>
      <c r="T17" s="120"/>
    </row>
    <row r="18" spans="1:20" ht="15.75" customHeight="1">
      <c r="A18" s="105"/>
      <c r="B18" s="105"/>
      <c r="C18" s="201"/>
      <c r="D18" s="128"/>
      <c r="E18" s="121"/>
      <c r="F18" s="105"/>
      <c r="G18" s="105"/>
      <c r="H18" s="105"/>
      <c r="I18" s="142"/>
      <c r="J18" s="142"/>
      <c r="K18" s="142"/>
      <c r="L18" s="142"/>
      <c r="M18" s="142"/>
      <c r="N18" s="142"/>
      <c r="O18" s="142"/>
      <c r="P18" s="142"/>
      <c r="Q18" s="142"/>
      <c r="R18" s="142" t="str">
        <f t="shared" si="0"/>
        <v/>
      </c>
      <c r="S18" s="120"/>
      <c r="T18" s="120"/>
    </row>
    <row r="19" spans="1:20" ht="15.75" customHeight="1">
      <c r="A19" s="105"/>
      <c r="B19" s="105"/>
      <c r="C19" s="201"/>
      <c r="D19" s="128"/>
      <c r="E19" s="121"/>
      <c r="F19" s="105"/>
      <c r="G19" s="105"/>
      <c r="H19" s="105"/>
      <c r="I19" s="142"/>
      <c r="J19" s="142"/>
      <c r="K19" s="142"/>
      <c r="L19" s="142"/>
      <c r="M19" s="142"/>
      <c r="N19" s="142"/>
      <c r="O19" s="142"/>
      <c r="P19" s="142"/>
      <c r="Q19" s="142"/>
      <c r="R19" s="142" t="str">
        <f t="shared" si="0"/>
        <v/>
      </c>
      <c r="S19" s="120"/>
      <c r="T19" s="120"/>
    </row>
    <row r="20" spans="1:20" ht="15.75" customHeight="1">
      <c r="A20" s="105"/>
      <c r="B20" s="105"/>
      <c r="C20" s="201"/>
      <c r="D20" s="128"/>
      <c r="E20" s="121"/>
      <c r="F20" s="105"/>
      <c r="G20" s="105"/>
      <c r="H20" s="105"/>
      <c r="I20" s="142"/>
      <c r="J20" s="142"/>
      <c r="K20" s="142"/>
      <c r="L20" s="142"/>
      <c r="M20" s="142"/>
      <c r="N20" s="142"/>
      <c r="O20" s="142"/>
      <c r="P20" s="142"/>
      <c r="Q20" s="142"/>
      <c r="R20" s="142" t="str">
        <f t="shared" si="0"/>
        <v/>
      </c>
      <c r="S20" s="120"/>
      <c r="T20" s="120"/>
    </row>
    <row r="21" spans="1:20" ht="15.75" customHeight="1">
      <c r="A21" s="105"/>
      <c r="B21" s="105"/>
      <c r="C21" s="201"/>
      <c r="D21" s="128"/>
      <c r="E21" s="121"/>
      <c r="F21" s="105"/>
      <c r="G21" s="105"/>
      <c r="H21" s="105"/>
      <c r="I21" s="142"/>
      <c r="J21" s="142"/>
      <c r="K21" s="142"/>
      <c r="L21" s="142"/>
      <c r="M21" s="142"/>
      <c r="N21" s="142"/>
      <c r="O21" s="142"/>
      <c r="P21" s="142"/>
      <c r="Q21" s="142"/>
      <c r="R21" s="142" t="str">
        <f t="shared" si="0"/>
        <v/>
      </c>
      <c r="S21" s="120"/>
      <c r="T21" s="120"/>
    </row>
    <row r="22" spans="1:20" ht="15.75" customHeight="1">
      <c r="A22" s="105"/>
      <c r="B22" s="105"/>
      <c r="C22" s="201"/>
      <c r="D22" s="128"/>
      <c r="E22" s="121"/>
      <c r="F22" s="105"/>
      <c r="G22" s="105"/>
      <c r="H22" s="105"/>
      <c r="I22" s="142"/>
      <c r="J22" s="142"/>
      <c r="K22" s="142"/>
      <c r="L22" s="142"/>
      <c r="M22" s="142"/>
      <c r="N22" s="142"/>
      <c r="O22" s="142"/>
      <c r="P22" s="142"/>
      <c r="Q22" s="142"/>
      <c r="R22" s="142" t="str">
        <f t="shared" si="0"/>
        <v/>
      </c>
      <c r="S22" s="120"/>
      <c r="T22" s="120"/>
    </row>
    <row r="23" spans="1:20" ht="15.75" customHeight="1">
      <c r="A23" s="105"/>
      <c r="B23" s="105"/>
      <c r="C23" s="201"/>
      <c r="D23" s="128"/>
      <c r="E23" s="121"/>
      <c r="F23" s="105"/>
      <c r="G23" s="105"/>
      <c r="H23" s="105"/>
      <c r="I23" s="142"/>
      <c r="J23" s="142"/>
      <c r="K23" s="142"/>
      <c r="L23" s="142"/>
      <c r="M23" s="142"/>
      <c r="N23" s="142"/>
      <c r="O23" s="142"/>
      <c r="P23" s="142"/>
      <c r="Q23" s="142"/>
      <c r="R23" s="142" t="str">
        <f t="shared" si="0"/>
        <v/>
      </c>
      <c r="S23" s="120"/>
      <c r="T23" s="120"/>
    </row>
    <row r="24" spans="1:20" ht="15.75" customHeight="1">
      <c r="A24" s="105"/>
      <c r="B24" s="105"/>
      <c r="C24" s="201"/>
      <c r="D24" s="128"/>
      <c r="E24" s="121"/>
      <c r="F24" s="105"/>
      <c r="G24" s="105"/>
      <c r="H24" s="105"/>
      <c r="I24" s="142"/>
      <c r="J24" s="142"/>
      <c r="K24" s="142"/>
      <c r="L24" s="142"/>
      <c r="M24" s="142"/>
      <c r="N24" s="142"/>
      <c r="O24" s="142"/>
      <c r="P24" s="142"/>
      <c r="Q24" s="142"/>
      <c r="R24" s="142" t="str">
        <f t="shared" si="0"/>
        <v/>
      </c>
      <c r="S24" s="120"/>
      <c r="T24" s="120"/>
    </row>
    <row r="25" spans="1:20" ht="15.75" customHeight="1">
      <c r="A25" s="105"/>
      <c r="B25" s="105"/>
      <c r="C25" s="201"/>
      <c r="D25" s="128"/>
      <c r="E25" s="121"/>
      <c r="F25" s="105"/>
      <c r="G25" s="105"/>
      <c r="H25" s="105"/>
      <c r="I25" s="142"/>
      <c r="J25" s="142"/>
      <c r="K25" s="142"/>
      <c r="L25" s="142"/>
      <c r="M25" s="142"/>
      <c r="N25" s="142"/>
      <c r="O25" s="142"/>
      <c r="P25" s="142"/>
      <c r="Q25" s="142"/>
      <c r="R25" s="142" t="str">
        <f t="shared" si="0"/>
        <v/>
      </c>
      <c r="S25" s="120"/>
      <c r="T25" s="120"/>
    </row>
    <row r="26" spans="1:20" ht="15.75" customHeight="1">
      <c r="A26" s="105"/>
      <c r="B26" s="105"/>
      <c r="C26" s="201"/>
      <c r="D26" s="128"/>
      <c r="E26" s="121"/>
      <c r="F26" s="105"/>
      <c r="G26" s="105"/>
      <c r="H26" s="105"/>
      <c r="I26" s="142"/>
      <c r="J26" s="142"/>
      <c r="K26" s="142"/>
      <c r="L26" s="142"/>
      <c r="M26" s="142"/>
      <c r="N26" s="142"/>
      <c r="O26" s="142"/>
      <c r="P26" s="142"/>
      <c r="Q26" s="142"/>
      <c r="R26" s="142" t="str">
        <f t="shared" si="0"/>
        <v/>
      </c>
      <c r="S26" s="120"/>
      <c r="T26" s="120"/>
    </row>
    <row r="27" spans="1:20" ht="15.75" customHeight="1">
      <c r="A27" s="105"/>
      <c r="B27" s="105"/>
      <c r="C27" s="201"/>
      <c r="D27" s="128"/>
      <c r="E27" s="121"/>
      <c r="F27" s="105"/>
      <c r="G27" s="105"/>
      <c r="H27" s="105"/>
      <c r="I27" s="142"/>
      <c r="J27" s="142"/>
      <c r="K27" s="142"/>
      <c r="L27" s="142"/>
      <c r="M27" s="142"/>
      <c r="N27" s="142"/>
      <c r="O27" s="142"/>
      <c r="P27" s="142"/>
      <c r="Q27" s="142"/>
      <c r="R27" s="142"/>
      <c r="S27" s="120"/>
      <c r="T27" s="120"/>
    </row>
    <row r="28" spans="1:20" ht="15.75" customHeight="1">
      <c r="A28" s="809" t="s">
        <v>36</v>
      </c>
      <c r="B28" s="909"/>
      <c r="C28" s="909"/>
      <c r="D28" s="810"/>
      <c r="E28" s="121"/>
      <c r="F28" s="105"/>
      <c r="G28" s="105"/>
      <c r="H28" s="105"/>
      <c r="I28" s="142"/>
      <c r="J28" s="142">
        <f t="shared" ref="J28:Q28" si="1">SUM(J7:J27)</f>
        <v>0</v>
      </c>
      <c r="K28" s="142">
        <f t="shared" si="1"/>
        <v>0</v>
      </c>
      <c r="L28" s="142"/>
      <c r="M28" s="142"/>
      <c r="N28" s="142">
        <f t="shared" si="1"/>
        <v>0</v>
      </c>
      <c r="O28" s="142">
        <f t="shared" si="1"/>
        <v>0</v>
      </c>
      <c r="P28" s="142">
        <f t="shared" si="1"/>
        <v>0</v>
      </c>
      <c r="Q28" s="142">
        <f t="shared" si="1"/>
        <v>0</v>
      </c>
      <c r="R28" s="142" t="str">
        <f>IF(O28=0,"",(Q28-O28)/O28*100)</f>
        <v/>
      </c>
      <c r="S28" s="120"/>
    </row>
    <row r="29" spans="1:20" ht="15.75" customHeight="1">
      <c r="A29" s="101" t="e">
        <f>#REF!&amp;#REF!</f>
        <v>#REF!</v>
      </c>
      <c r="G29" s="115"/>
      <c r="N29" s="129" t="e">
        <f>"评估人员："&amp;#REF!</f>
        <v>#REF!</v>
      </c>
      <c r="P29" s="129"/>
    </row>
    <row r="30" spans="1:20" ht="15.75" customHeight="1">
      <c r="A30" s="101" t="e">
        <f>CONCATENATE(#REF!,#REF!,#REF!,#REF!,#REF!,#REF!,#REF!)</f>
        <v>#REF!</v>
      </c>
    </row>
  </sheetData>
  <mergeCells count="19">
    <mergeCell ref="A2:S2"/>
    <mergeCell ref="A3:S3"/>
    <mergeCell ref="A28:D28"/>
    <mergeCell ref="A5:A6"/>
    <mergeCell ref="B5:B6"/>
    <mergeCell ref="C5:C6"/>
    <mergeCell ref="D5:D6"/>
    <mergeCell ref="E5:E6"/>
    <mergeCell ref="F5:F6"/>
    <mergeCell ref="G5:G6"/>
    <mergeCell ref="H5:H6"/>
    <mergeCell ref="I5:I6"/>
    <mergeCell ref="T5:T6"/>
    <mergeCell ref="S5:S6"/>
    <mergeCell ref="J5:K5"/>
    <mergeCell ref="N5:O5"/>
    <mergeCell ref="P5:Q5"/>
    <mergeCell ref="R5:R6"/>
    <mergeCell ref="L5:M5"/>
  </mergeCells>
  <phoneticPr fontId="6" type="noConversion"/>
  <hyperlinks>
    <hyperlink ref="A1" location="索引目录!E41" display="土地"/>
    <hyperlink ref="B1" location="固定资产汇总!B15" display="土地"/>
  </hyperlinks>
  <printOptions horizontalCentered="1"/>
  <pageMargins left="0.35433070866141736" right="0.35433070866141736" top="0.78740157480314965" bottom="0.78740157480314965" header="0.98" footer="0.51181102362204722"/>
  <pageSetup paperSize="9" scale="74" fitToHeight="0" orientation="landscape" horizontalDpi="4294967292" r:id="rId1"/>
  <headerFooter alignWithMargins="0">
    <oddHeader>&amp;R&amp;"宋体,常规"&amp;10表&amp;"Times New Roman,常规"4-6-7
&amp;"宋体,常规"共&amp;"Times New Roman,常规"&amp;N&amp;"宋体,常规"页第&amp;"Times New Roman,常规"&amp;P&amp;"宋体,常规"页</oddHeader>
  </headerFooter>
  <legacy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I29"/>
  <sheetViews>
    <sheetView zoomScale="85" workbookViewId="0">
      <selection activeCell="M7" sqref="M7"/>
    </sheetView>
  </sheetViews>
  <sheetFormatPr defaultRowHeight="15.75" customHeight="1" outlineLevelCol="1"/>
  <cols>
    <col min="1" max="1" width="8.125" style="4" customWidth="1"/>
    <col min="2" max="2" width="28" style="4" customWidth="1"/>
    <col min="3" max="3" width="15.625" style="4" customWidth="1" outlineLevel="1"/>
    <col min="4" max="6" width="15.625" style="4" customWidth="1"/>
    <col min="7" max="7" width="11.625" style="4" customWidth="1"/>
    <col min="8" max="8" width="12.875" style="4" customWidth="1"/>
    <col min="9" max="16384" width="9" style="4"/>
  </cols>
  <sheetData>
    <row r="1" spans="1:9" ht="12.75">
      <c r="A1" s="195" t="s">
        <v>130</v>
      </c>
      <c r="B1" s="196" t="s">
        <v>131</v>
      </c>
      <c r="C1" s="1"/>
      <c r="D1" s="1"/>
      <c r="E1" s="1"/>
      <c r="F1" s="1"/>
      <c r="G1" s="1"/>
    </row>
    <row r="2" spans="1:9" s="114" customFormat="1" ht="30" customHeight="1">
      <c r="A2" s="790" t="s">
        <v>878</v>
      </c>
      <c r="B2" s="791"/>
      <c r="C2" s="791"/>
      <c r="D2" s="791"/>
      <c r="E2" s="791"/>
      <c r="F2" s="791"/>
      <c r="G2" s="791"/>
    </row>
    <row r="3" spans="1:9" ht="14.1" customHeight="1">
      <c r="A3" s="792" t="e">
        <f>CONCATENATE(#REF!,#REF!,#REF!,#REF!,#REF!,#REF!,#REF!)</f>
        <v>#REF!</v>
      </c>
      <c r="B3" s="792"/>
      <c r="C3" s="792"/>
      <c r="D3" s="792"/>
      <c r="E3" s="808"/>
      <c r="F3" s="808"/>
      <c r="G3" s="808"/>
    </row>
    <row r="4" spans="1:9" ht="15.75" customHeight="1">
      <c r="A4" s="115" t="e">
        <f>#REF!&amp;#REF!</f>
        <v>#REF!</v>
      </c>
      <c r="G4" s="106" t="s">
        <v>3</v>
      </c>
    </row>
    <row r="5" spans="1:9" s="1" customFormat="1" ht="15.75" customHeight="1">
      <c r="A5" s="323" t="s">
        <v>235</v>
      </c>
      <c r="B5" s="323" t="s">
        <v>2</v>
      </c>
      <c r="C5" s="323" t="s">
        <v>426</v>
      </c>
      <c r="D5" s="323" t="s">
        <v>315</v>
      </c>
      <c r="E5" s="323" t="s">
        <v>0</v>
      </c>
      <c r="F5" s="323" t="s">
        <v>19</v>
      </c>
      <c r="G5" s="323" t="s">
        <v>20</v>
      </c>
    </row>
    <row r="6" spans="1:9" ht="15.75" customHeight="1">
      <c r="A6" s="127" t="s">
        <v>766</v>
      </c>
      <c r="B6" s="131" t="s">
        <v>567</v>
      </c>
      <c r="C6" s="142">
        <f>'在建（土建）'!I22</f>
        <v>0</v>
      </c>
      <c r="D6" s="142">
        <f>'在建（土建）'!K22</f>
        <v>0</v>
      </c>
      <c r="E6" s="142">
        <f>'在建（土建）'!L22</f>
        <v>0</v>
      </c>
      <c r="F6" s="142">
        <f>E6-D6</f>
        <v>0</v>
      </c>
      <c r="G6" s="142" t="str">
        <f>IF(D6=0,"",F6/D6*100)</f>
        <v/>
      </c>
      <c r="H6" s="469"/>
      <c r="I6" s="600"/>
    </row>
    <row r="7" spans="1:9" ht="15.75" customHeight="1">
      <c r="A7" s="127" t="s">
        <v>767</v>
      </c>
      <c r="B7" s="131" t="s">
        <v>568</v>
      </c>
      <c r="C7" s="142">
        <f>'在建（设备）'!K27</f>
        <v>0</v>
      </c>
      <c r="D7" s="142">
        <f>'在建（设备）'!P27</f>
        <v>0</v>
      </c>
      <c r="E7" s="142">
        <f>'在建（设备）'!T27</f>
        <v>0</v>
      </c>
      <c r="F7" s="142">
        <f>E7-D7</f>
        <v>0</v>
      </c>
      <c r="G7" s="142" t="str">
        <f>IF(D7=0,"",F7/D7*100)</f>
        <v/>
      </c>
      <c r="H7" s="469"/>
      <c r="I7" s="600"/>
    </row>
    <row r="8" spans="1:9" ht="15.75" customHeight="1">
      <c r="A8" s="127"/>
      <c r="B8" s="108"/>
      <c r="C8" s="142"/>
      <c r="D8" s="142"/>
      <c r="E8" s="142"/>
      <c r="F8" s="142"/>
      <c r="G8" s="142"/>
    </row>
    <row r="9" spans="1:9" ht="15.75" customHeight="1">
      <c r="A9" s="127"/>
      <c r="B9" s="108"/>
      <c r="C9" s="142"/>
      <c r="D9" s="142"/>
      <c r="E9" s="142"/>
      <c r="F9" s="142"/>
      <c r="G9" s="142"/>
    </row>
    <row r="10" spans="1:9" ht="15.75" customHeight="1">
      <c r="A10" s="127"/>
      <c r="B10" s="108"/>
      <c r="C10" s="142"/>
      <c r="D10" s="142"/>
      <c r="E10" s="142"/>
      <c r="F10" s="142"/>
      <c r="G10" s="142"/>
    </row>
    <row r="11" spans="1:9" ht="15.75" customHeight="1">
      <c r="A11" s="127"/>
      <c r="B11" s="108"/>
      <c r="C11" s="142"/>
      <c r="D11" s="142"/>
      <c r="E11" s="142"/>
      <c r="F11" s="142"/>
      <c r="G11" s="142"/>
    </row>
    <row r="12" spans="1:9" ht="15.75" customHeight="1">
      <c r="A12" s="127"/>
      <c r="B12" s="108"/>
      <c r="C12" s="142"/>
      <c r="D12" s="142"/>
      <c r="E12" s="142"/>
      <c r="F12" s="142"/>
      <c r="G12" s="142"/>
    </row>
    <row r="13" spans="1:9" ht="15.75" customHeight="1">
      <c r="A13" s="127"/>
      <c r="B13" s="108"/>
      <c r="C13" s="142"/>
      <c r="D13" s="142"/>
      <c r="E13" s="142"/>
      <c r="F13" s="142"/>
      <c r="G13" s="142"/>
    </row>
    <row r="14" spans="1:9" ht="15.75" customHeight="1">
      <c r="A14" s="127"/>
      <c r="B14" s="108"/>
      <c r="C14" s="142"/>
      <c r="D14" s="142"/>
      <c r="E14" s="142"/>
      <c r="F14" s="142"/>
      <c r="G14" s="142"/>
    </row>
    <row r="15" spans="1:9" ht="15.75" customHeight="1">
      <c r="A15" s="127"/>
      <c r="B15" s="108"/>
      <c r="C15" s="142"/>
      <c r="D15" s="142"/>
      <c r="E15" s="142"/>
      <c r="F15" s="142"/>
      <c r="G15" s="142"/>
    </row>
    <row r="16" spans="1:9" ht="15.75" customHeight="1">
      <c r="A16" s="127"/>
      <c r="B16" s="108"/>
      <c r="C16" s="142"/>
      <c r="D16" s="142"/>
      <c r="E16" s="142"/>
      <c r="F16" s="142"/>
      <c r="G16" s="142"/>
    </row>
    <row r="17" spans="1:7" ht="15.75" customHeight="1">
      <c r="A17" s="127"/>
      <c r="B17" s="108"/>
      <c r="C17" s="142"/>
      <c r="D17" s="142"/>
      <c r="E17" s="142"/>
      <c r="F17" s="142"/>
      <c r="G17" s="142"/>
    </row>
    <row r="18" spans="1:7" ht="15.75" customHeight="1">
      <c r="A18" s="127"/>
      <c r="B18" s="108"/>
      <c r="C18" s="142"/>
      <c r="D18" s="142"/>
      <c r="E18" s="142"/>
      <c r="F18" s="142"/>
      <c r="G18" s="142"/>
    </row>
    <row r="19" spans="1:7" ht="15.75" customHeight="1">
      <c r="A19" s="127"/>
      <c r="B19" s="108"/>
      <c r="C19" s="142"/>
      <c r="D19" s="142"/>
      <c r="E19" s="142"/>
      <c r="F19" s="142"/>
      <c r="G19" s="142"/>
    </row>
    <row r="20" spans="1:7" ht="15.75" customHeight="1">
      <c r="A20" s="127"/>
      <c r="B20" s="118"/>
      <c r="C20" s="142"/>
      <c r="D20" s="142"/>
      <c r="E20" s="142"/>
      <c r="F20" s="142"/>
      <c r="G20" s="142"/>
    </row>
    <row r="21" spans="1:7" ht="15.75" customHeight="1">
      <c r="A21" s="127"/>
      <c r="B21" s="108"/>
      <c r="C21" s="142"/>
      <c r="D21" s="142"/>
      <c r="E21" s="142"/>
      <c r="F21" s="142"/>
      <c r="G21" s="142"/>
    </row>
    <row r="22" spans="1:7" ht="15.75" customHeight="1">
      <c r="A22" s="127"/>
      <c r="B22" s="118"/>
      <c r="C22" s="142"/>
      <c r="D22" s="142"/>
      <c r="E22" s="142"/>
      <c r="F22" s="142"/>
      <c r="G22" s="142"/>
    </row>
    <row r="23" spans="1:7" ht="15.75" customHeight="1">
      <c r="A23" s="127"/>
      <c r="B23" s="108"/>
      <c r="C23" s="142"/>
      <c r="D23" s="142"/>
      <c r="E23" s="142"/>
      <c r="F23" s="142"/>
      <c r="G23" s="142"/>
    </row>
    <row r="24" spans="1:7" ht="15.75" customHeight="1">
      <c r="A24" s="127"/>
      <c r="B24" s="118"/>
      <c r="C24" s="142"/>
      <c r="D24" s="142"/>
      <c r="E24" s="142"/>
      <c r="F24" s="142"/>
      <c r="G24" s="142"/>
    </row>
    <row r="25" spans="1:7" ht="15.75" customHeight="1">
      <c r="A25" s="127" t="s">
        <v>563</v>
      </c>
      <c r="B25" s="127" t="s">
        <v>564</v>
      </c>
      <c r="C25" s="142">
        <f>SUM(C6:C24)</f>
        <v>0</v>
      </c>
      <c r="D25" s="142">
        <f>SUM(D6:D24)</f>
        <v>0</v>
      </c>
      <c r="E25" s="142">
        <f>SUM(E6:E24)</f>
        <v>0</v>
      </c>
      <c r="F25" s="142">
        <f>SUM(F6:F24)</f>
        <v>0</v>
      </c>
      <c r="G25" s="142" t="str">
        <f>IF(D25=0,"",F25/D25*100)</f>
        <v/>
      </c>
    </row>
    <row r="26" spans="1:7" ht="15.75" customHeight="1">
      <c r="A26" s="127" t="s">
        <v>563</v>
      </c>
      <c r="B26" s="127" t="s">
        <v>565</v>
      </c>
      <c r="C26" s="142"/>
      <c r="D26" s="142">
        <f>C26</f>
        <v>0</v>
      </c>
      <c r="E26" s="142">
        <v>0</v>
      </c>
      <c r="F26" s="142">
        <f>E26-D26</f>
        <v>0</v>
      </c>
      <c r="G26" s="142" t="str">
        <f>IF(D26=0,"",F26/D26*100)</f>
        <v/>
      </c>
    </row>
    <row r="27" spans="1:7" ht="15.75" customHeight="1">
      <c r="A27" s="127" t="s">
        <v>563</v>
      </c>
      <c r="B27" s="127" t="s">
        <v>566</v>
      </c>
      <c r="C27" s="142">
        <f>C25-C26</f>
        <v>0</v>
      </c>
      <c r="D27" s="142">
        <f>D25-D26</f>
        <v>0</v>
      </c>
      <c r="E27" s="142">
        <f>E25-E26</f>
        <v>0</v>
      </c>
      <c r="F27" s="142">
        <f>F25-F26</f>
        <v>0</v>
      </c>
      <c r="G27" s="142" t="str">
        <f>IF(D27=0,"",F27/D27*100)</f>
        <v/>
      </c>
    </row>
    <row r="28" spans="1:7" ht="15.75" customHeight="1">
      <c r="A28" s="101" t="e">
        <f>#REF!&amp;#REF!</f>
        <v>#REF!</v>
      </c>
      <c r="E28" s="4" t="e">
        <f>"评估人员："&amp;#REF!&amp;"  "&amp;#REF!</f>
        <v>#REF!</v>
      </c>
    </row>
    <row r="29" spans="1:7" ht="15.75" customHeight="1">
      <c r="A29" s="101" t="e">
        <f>CONCATENATE(#REF!,#REF!,#REF!,#REF!,#REF!,#REF!,#REF!)</f>
        <v>#REF!</v>
      </c>
    </row>
  </sheetData>
  <mergeCells count="2">
    <mergeCell ref="A2:G2"/>
    <mergeCell ref="A3:G3"/>
  </mergeCells>
  <phoneticPr fontId="6" type="noConversion"/>
  <hyperlinks>
    <hyperlink ref="A1" location="索引目录!C25" display="固定资产"/>
    <hyperlink ref="B6" location="'在建（土建）'!B1" display="返回"/>
    <hyperlink ref="B7" location="'在建（设备）'!B1" display="返回"/>
    <hyperlink ref="B1" location="固定资产汇总!B20" display="在建工程"/>
  </hyperlinks>
  <printOptions horizontalCentered="1"/>
  <pageMargins left="0.35433070866141736" right="0.35433070866141736" top="0.78740157480314965" bottom="0.78740157480314965" header="1" footer="0.51181102362204722"/>
  <pageSetup paperSize="9" scale="94" orientation="landscape" horizontalDpi="4294967292" r:id="rId1"/>
  <headerFooter alignWithMargins="0">
    <oddHeader>&amp;R&amp;"宋体,常规"&amp;10表&amp;"Times New Roman,常规"4-7
&amp;"宋体,常规"共&amp;"Times New Roman,常规"&amp;N&amp;"宋体,常规"页第&amp;"Times New Roman,常规"&amp;P&amp;"宋体,常规"页</oddHead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pageSetUpPr fitToPage="1"/>
  </sheetPr>
  <dimension ref="A1:O24"/>
  <sheetViews>
    <sheetView workbookViewId="0">
      <pane xSplit="4" ySplit="5" topLeftCell="E6" activePane="bottomRight" state="frozen"/>
      <selection activeCell="M7" sqref="M7"/>
      <selection pane="topRight" activeCell="M7" sqref="M7"/>
      <selection pane="bottomLeft" activeCell="M7" sqref="M7"/>
      <selection pane="bottomRight" activeCell="M7" sqref="M7"/>
    </sheetView>
  </sheetViews>
  <sheetFormatPr defaultRowHeight="15.75" customHeight="1" outlineLevelCol="1"/>
  <cols>
    <col min="1" max="1" width="4.875" style="4" customWidth="1"/>
    <col min="2" max="2" width="17.625" style="4" customWidth="1"/>
    <col min="3" max="3" width="10.875" style="4" customWidth="1"/>
    <col min="4" max="4" width="12.375" style="4" customWidth="1"/>
    <col min="5" max="5" width="9.25" style="4" customWidth="1"/>
    <col min="6" max="6" width="10.75" style="4" customWidth="1"/>
    <col min="7" max="8" width="9" style="4"/>
    <col min="9" max="10" width="13.5" style="4" hidden="1" customWidth="1" outlineLevel="1"/>
    <col min="11" max="11" width="13.5" style="4" customWidth="1" collapsed="1"/>
    <col min="12" max="12" width="13.5" style="4" customWidth="1"/>
    <col min="13" max="13" width="10.875" style="4" customWidth="1"/>
    <col min="14" max="14" width="6.25" style="4" customWidth="1"/>
    <col min="15" max="15" width="8" style="4" customWidth="1"/>
    <col min="16" max="16384" width="9" style="4"/>
  </cols>
  <sheetData>
    <row r="1" spans="1:15" ht="7.5" customHeight="1">
      <c r="A1" s="272" t="s">
        <v>130</v>
      </c>
      <c r="B1" s="196" t="s">
        <v>131</v>
      </c>
      <c r="C1" s="196"/>
      <c r="D1" s="196"/>
      <c r="E1" s="1"/>
      <c r="F1" s="1"/>
      <c r="G1" s="1"/>
      <c r="H1" s="1"/>
      <c r="I1" s="1"/>
      <c r="J1" s="1"/>
      <c r="K1" s="1"/>
      <c r="L1" s="1"/>
      <c r="M1" s="1"/>
      <c r="N1" s="1"/>
      <c r="O1" s="1"/>
    </row>
    <row r="2" spans="1:15" s="114" customFormat="1" ht="22.5" customHeight="1">
      <c r="A2" s="790" t="s">
        <v>877</v>
      </c>
      <c r="B2" s="791"/>
      <c r="C2" s="791"/>
      <c r="D2" s="791"/>
      <c r="E2" s="791"/>
      <c r="F2" s="791"/>
      <c r="G2" s="791"/>
      <c r="H2" s="791"/>
      <c r="I2" s="791"/>
      <c r="J2" s="791"/>
      <c r="K2" s="791"/>
      <c r="L2" s="791"/>
      <c r="M2" s="791"/>
      <c r="N2" s="791"/>
      <c r="O2" s="791"/>
    </row>
    <row r="3" spans="1:15" ht="14.1" customHeight="1">
      <c r="A3" s="792" t="e">
        <f>CONCATENATE(#REF!,#REF!,#REF!,#REF!,#REF!,#REF!,#REF!)</f>
        <v>#REF!</v>
      </c>
      <c r="B3" s="792"/>
      <c r="C3" s="792"/>
      <c r="D3" s="792"/>
      <c r="E3" s="808"/>
      <c r="F3" s="808"/>
      <c r="G3" s="808"/>
      <c r="H3" s="808"/>
      <c r="I3" s="808"/>
      <c r="J3" s="808"/>
      <c r="K3" s="808"/>
      <c r="L3" s="808"/>
      <c r="M3" s="808"/>
      <c r="N3" s="808"/>
      <c r="O3" s="808"/>
    </row>
    <row r="4" spans="1:15" ht="15.75" customHeight="1">
      <c r="A4" s="115" t="e">
        <f>#REF!&amp;#REF!</f>
        <v>#REF!</v>
      </c>
      <c r="O4" s="106" t="s">
        <v>3</v>
      </c>
    </row>
    <row r="5" spans="1:15" s="1" customFormat="1" ht="23.25" customHeight="1">
      <c r="A5" s="2" t="s">
        <v>4</v>
      </c>
      <c r="B5" s="2" t="s">
        <v>251</v>
      </c>
      <c r="C5" s="2" t="s">
        <v>255</v>
      </c>
      <c r="D5" s="2" t="s">
        <v>768</v>
      </c>
      <c r="E5" s="2" t="s">
        <v>257</v>
      </c>
      <c r="F5" s="2" t="s">
        <v>258</v>
      </c>
      <c r="G5" s="2" t="s">
        <v>259</v>
      </c>
      <c r="H5" s="2" t="s">
        <v>260</v>
      </c>
      <c r="I5" s="2" t="s">
        <v>426</v>
      </c>
      <c r="J5" s="2" t="s">
        <v>710</v>
      </c>
      <c r="K5" s="2" t="s">
        <v>315</v>
      </c>
      <c r="L5" s="2" t="s">
        <v>0</v>
      </c>
      <c r="M5" s="2" t="s">
        <v>1</v>
      </c>
      <c r="N5" s="2" t="s">
        <v>20</v>
      </c>
      <c r="O5" s="2" t="s">
        <v>72</v>
      </c>
    </row>
    <row r="6" spans="1:15" ht="15.75" customHeight="1">
      <c r="A6" s="105">
        <v>1</v>
      </c>
      <c r="B6" s="128"/>
      <c r="C6" s="128"/>
      <c r="D6" s="128"/>
      <c r="E6" s="476"/>
      <c r="F6" s="476"/>
      <c r="G6" s="105"/>
      <c r="H6" s="105"/>
      <c r="I6" s="142"/>
      <c r="J6" s="142"/>
      <c r="K6" s="142"/>
      <c r="L6" s="142"/>
      <c r="M6" s="142" t="str">
        <f>IF(K6=0,"",(L6-K6))</f>
        <v/>
      </c>
      <c r="N6" s="142" t="str">
        <f>IF(K6=0,"",(L6-K6)/K6*100)</f>
        <v/>
      </c>
      <c r="O6" s="120"/>
    </row>
    <row r="7" spans="1:15" ht="15.75" customHeight="1">
      <c r="A7" s="105">
        <v>2</v>
      </c>
      <c r="B7" s="128"/>
      <c r="C7" s="128"/>
      <c r="D7" s="128"/>
      <c r="E7" s="476"/>
      <c r="F7" s="476"/>
      <c r="G7" s="105"/>
      <c r="H7" s="105"/>
      <c r="I7" s="142"/>
      <c r="J7" s="142"/>
      <c r="K7" s="142"/>
      <c r="L7" s="142"/>
      <c r="M7" s="142"/>
      <c r="N7" s="142" t="str">
        <f t="shared" ref="N7:N20" si="0">IF(K7=0,"",(L7-K7)/K7*100)</f>
        <v/>
      </c>
      <c r="O7" s="120"/>
    </row>
    <row r="8" spans="1:15" ht="15.75" customHeight="1">
      <c r="A8" s="105"/>
      <c r="B8" s="128"/>
      <c r="C8" s="128"/>
      <c r="D8" s="128"/>
      <c r="E8" s="476"/>
      <c r="F8" s="476"/>
      <c r="G8" s="105"/>
      <c r="H8" s="105"/>
      <c r="I8" s="142"/>
      <c r="J8" s="142"/>
      <c r="K8" s="142"/>
      <c r="L8" s="142"/>
      <c r="M8" s="142"/>
      <c r="N8" s="142" t="str">
        <f t="shared" si="0"/>
        <v/>
      </c>
      <c r="O8" s="120"/>
    </row>
    <row r="9" spans="1:15" ht="15.75" customHeight="1">
      <c r="A9" s="105"/>
      <c r="B9" s="128"/>
      <c r="C9" s="128"/>
      <c r="D9" s="128"/>
      <c r="E9" s="476"/>
      <c r="F9" s="476"/>
      <c r="G9" s="105"/>
      <c r="H9" s="105"/>
      <c r="I9" s="142"/>
      <c r="J9" s="142"/>
      <c r="K9" s="142"/>
      <c r="L9" s="142"/>
      <c r="M9" s="142"/>
      <c r="N9" s="142" t="str">
        <f t="shared" si="0"/>
        <v/>
      </c>
      <c r="O9" s="120"/>
    </row>
    <row r="10" spans="1:15" ht="15.75" customHeight="1">
      <c r="A10" s="105"/>
      <c r="B10" s="128"/>
      <c r="C10" s="128"/>
      <c r="D10" s="128"/>
      <c r="E10" s="476"/>
      <c r="F10" s="476"/>
      <c r="G10" s="105"/>
      <c r="H10" s="105"/>
      <c r="I10" s="142"/>
      <c r="J10" s="142"/>
      <c r="K10" s="142"/>
      <c r="L10" s="142"/>
      <c r="M10" s="142"/>
      <c r="N10" s="142" t="str">
        <f t="shared" si="0"/>
        <v/>
      </c>
      <c r="O10" s="120"/>
    </row>
    <row r="11" spans="1:15" ht="15.75" customHeight="1">
      <c r="A11" s="105"/>
      <c r="B11" s="128"/>
      <c r="C11" s="128"/>
      <c r="D11" s="128"/>
      <c r="E11" s="476"/>
      <c r="F11" s="476"/>
      <c r="G11" s="105"/>
      <c r="H11" s="105"/>
      <c r="I11" s="142"/>
      <c r="J11" s="142"/>
      <c r="K11" s="142"/>
      <c r="L11" s="142"/>
      <c r="M11" s="142"/>
      <c r="N11" s="142" t="str">
        <f t="shared" si="0"/>
        <v/>
      </c>
      <c r="O11" s="120"/>
    </row>
    <row r="12" spans="1:15" ht="15.75" customHeight="1">
      <c r="A12" s="105"/>
      <c r="B12" s="128"/>
      <c r="C12" s="128"/>
      <c r="D12" s="128"/>
      <c r="E12" s="476"/>
      <c r="F12" s="476"/>
      <c r="G12" s="105"/>
      <c r="H12" s="105"/>
      <c r="I12" s="142"/>
      <c r="J12" s="142"/>
      <c r="K12" s="142"/>
      <c r="L12" s="142"/>
      <c r="M12" s="142"/>
      <c r="N12" s="142" t="str">
        <f t="shared" si="0"/>
        <v/>
      </c>
      <c r="O12" s="120"/>
    </row>
    <row r="13" spans="1:15" ht="15.75" customHeight="1">
      <c r="A13" s="105"/>
      <c r="B13" s="128"/>
      <c r="C13" s="128"/>
      <c r="D13" s="128"/>
      <c r="E13" s="476"/>
      <c r="F13" s="476"/>
      <c r="G13" s="105"/>
      <c r="H13" s="105"/>
      <c r="I13" s="142"/>
      <c r="J13" s="142"/>
      <c r="K13" s="142"/>
      <c r="L13" s="142"/>
      <c r="M13" s="142"/>
      <c r="N13" s="142" t="str">
        <f t="shared" si="0"/>
        <v/>
      </c>
      <c r="O13" s="120"/>
    </row>
    <row r="14" spans="1:15" ht="15.75" customHeight="1">
      <c r="A14" s="105"/>
      <c r="B14" s="128"/>
      <c r="C14" s="128"/>
      <c r="D14" s="128"/>
      <c r="E14" s="476"/>
      <c r="F14" s="476"/>
      <c r="G14" s="105"/>
      <c r="H14" s="105"/>
      <c r="I14" s="142"/>
      <c r="J14" s="142"/>
      <c r="K14" s="142"/>
      <c r="L14" s="142"/>
      <c r="M14" s="142"/>
      <c r="N14" s="142" t="str">
        <f t="shared" si="0"/>
        <v/>
      </c>
      <c r="O14" s="120"/>
    </row>
    <row r="15" spans="1:15" ht="15.75" customHeight="1">
      <c r="A15" s="105"/>
      <c r="B15" s="128"/>
      <c r="C15" s="128"/>
      <c r="D15" s="128"/>
      <c r="E15" s="476"/>
      <c r="F15" s="476"/>
      <c r="G15" s="105"/>
      <c r="H15" s="105"/>
      <c r="I15" s="142"/>
      <c r="J15" s="142"/>
      <c r="K15" s="142"/>
      <c r="L15" s="142"/>
      <c r="M15" s="142"/>
      <c r="N15" s="142" t="str">
        <f t="shared" si="0"/>
        <v/>
      </c>
      <c r="O15" s="120"/>
    </row>
    <row r="16" spans="1:15" ht="15.75" customHeight="1">
      <c r="A16" s="105"/>
      <c r="B16" s="128"/>
      <c r="C16" s="128"/>
      <c r="D16" s="128"/>
      <c r="E16" s="476"/>
      <c r="F16" s="476"/>
      <c r="G16" s="105"/>
      <c r="H16" s="105"/>
      <c r="I16" s="142"/>
      <c r="J16" s="142"/>
      <c r="K16" s="142"/>
      <c r="L16" s="142"/>
      <c r="M16" s="142"/>
      <c r="N16" s="142" t="str">
        <f t="shared" si="0"/>
        <v/>
      </c>
      <c r="O16" s="120"/>
    </row>
    <row r="17" spans="1:15" ht="15.75" customHeight="1">
      <c r="A17" s="105"/>
      <c r="B17" s="128"/>
      <c r="C17" s="128"/>
      <c r="D17" s="128"/>
      <c r="E17" s="476"/>
      <c r="F17" s="476"/>
      <c r="G17" s="105"/>
      <c r="H17" s="105"/>
      <c r="I17" s="142"/>
      <c r="J17" s="142"/>
      <c r="K17" s="142"/>
      <c r="L17" s="142"/>
      <c r="M17" s="142"/>
      <c r="N17" s="142" t="str">
        <f t="shared" si="0"/>
        <v/>
      </c>
      <c r="O17" s="120"/>
    </row>
    <row r="18" spans="1:15" ht="15.75" customHeight="1">
      <c r="A18" s="105"/>
      <c r="B18" s="128"/>
      <c r="C18" s="128"/>
      <c r="D18" s="128"/>
      <c r="E18" s="476"/>
      <c r="F18" s="476"/>
      <c r="G18" s="105"/>
      <c r="H18" s="105"/>
      <c r="I18" s="142"/>
      <c r="J18" s="142"/>
      <c r="K18" s="142"/>
      <c r="L18" s="142"/>
      <c r="M18" s="142"/>
      <c r="N18" s="142" t="str">
        <f t="shared" si="0"/>
        <v/>
      </c>
      <c r="O18" s="120"/>
    </row>
    <row r="19" spans="1:15" ht="15.75" customHeight="1">
      <c r="A19" s="105"/>
      <c r="B19" s="128"/>
      <c r="C19" s="128"/>
      <c r="D19" s="128"/>
      <c r="E19" s="476"/>
      <c r="F19" s="476"/>
      <c r="G19" s="105"/>
      <c r="H19" s="105"/>
      <c r="I19" s="142"/>
      <c r="J19" s="142"/>
      <c r="K19" s="142"/>
      <c r="L19" s="142"/>
      <c r="M19" s="142"/>
      <c r="N19" s="142" t="str">
        <f t="shared" si="0"/>
        <v/>
      </c>
      <c r="O19" s="120"/>
    </row>
    <row r="20" spans="1:15" ht="15.75" customHeight="1">
      <c r="A20" s="105"/>
      <c r="B20" s="128"/>
      <c r="C20" s="128"/>
      <c r="D20" s="128"/>
      <c r="E20" s="476"/>
      <c r="F20" s="476"/>
      <c r="G20" s="105"/>
      <c r="H20" s="105"/>
      <c r="I20" s="142"/>
      <c r="J20" s="142"/>
      <c r="K20" s="142"/>
      <c r="L20" s="142"/>
      <c r="M20" s="142"/>
      <c r="N20" s="142" t="str">
        <f t="shared" si="0"/>
        <v/>
      </c>
      <c r="O20" s="120"/>
    </row>
    <row r="21" spans="1:15" ht="15.75" customHeight="1">
      <c r="A21" s="105"/>
      <c r="B21" s="128"/>
      <c r="C21" s="128"/>
      <c r="D21" s="128"/>
      <c r="E21" s="476"/>
      <c r="F21" s="476"/>
      <c r="G21" s="105"/>
      <c r="H21" s="105"/>
      <c r="I21" s="142"/>
      <c r="J21" s="142"/>
      <c r="K21" s="142"/>
      <c r="L21" s="142"/>
      <c r="M21" s="142"/>
      <c r="N21" s="142"/>
      <c r="O21" s="120"/>
    </row>
    <row r="22" spans="1:15" ht="15.75" customHeight="1">
      <c r="A22" s="809" t="s">
        <v>36</v>
      </c>
      <c r="B22" s="810"/>
      <c r="C22" s="110"/>
      <c r="D22" s="110"/>
      <c r="E22" s="121"/>
      <c r="F22" s="121"/>
      <c r="G22" s="105"/>
      <c r="H22" s="105"/>
      <c r="I22" s="142">
        <f>SUM(I6:I21)</f>
        <v>0</v>
      </c>
      <c r="J22" s="142"/>
      <c r="K22" s="142">
        <f>SUM(K6:K21)</f>
        <v>0</v>
      </c>
      <c r="L22" s="142">
        <f>SUM(L6:L21)</f>
        <v>0</v>
      </c>
      <c r="M22" s="142"/>
      <c r="N22" s="142" t="str">
        <f>IF(K22=0,"",(L22-K22)/K22*100)</f>
        <v/>
      </c>
      <c r="O22" s="120"/>
    </row>
    <row r="23" spans="1:15" ht="15.75" customHeight="1">
      <c r="A23" s="101" t="e">
        <f>#REF!&amp;#REF!</f>
        <v>#REF!</v>
      </c>
      <c r="K23" s="129" t="e">
        <f>"评估人员："&amp;#REF!</f>
        <v>#REF!</v>
      </c>
    </row>
    <row r="24" spans="1:15" ht="15.75" customHeight="1">
      <c r="A24" s="101" t="e">
        <f>CONCATENATE(#REF!,#REF!,#REF!,#REF!,#REF!,#REF!,#REF!)</f>
        <v>#REF!</v>
      </c>
    </row>
  </sheetData>
  <autoFilter ref="A5:R5"/>
  <mergeCells count="3">
    <mergeCell ref="A2:O2"/>
    <mergeCell ref="A3:O3"/>
    <mergeCell ref="A22:B22"/>
  </mergeCells>
  <phoneticPr fontId="6" type="noConversion"/>
  <hyperlinks>
    <hyperlink ref="A1" location="索引目录!E48" display="土地使用权"/>
    <hyperlink ref="B1" location="在建工程汇总!B6" display="在建工程-土建工程"/>
  </hyperlinks>
  <printOptions horizontalCentered="1"/>
  <pageMargins left="0.35433070866141736" right="0.35433070866141736" top="0.78740157480314965" bottom="0.78740157480314965" header="1.05" footer="0.51181102362204722"/>
  <pageSetup paperSize="9" scale="96" fitToHeight="0" orientation="landscape" horizontalDpi="4294967292" r:id="rId1"/>
  <headerFooter alignWithMargins="0">
    <oddHeader>&amp;R&amp;"宋体,常规"&amp;10表&amp;"Times New Roman,常规"4-7-1
&amp;"宋体,常规"共&amp;"Times New Roman,常规"&amp;N&amp;"宋体,常规"页第&amp;"Times New Roman,常规"&amp;P&amp;"宋体,常规"页</oddHeader>
  </headerFooter>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0">
    <pageSetUpPr fitToPage="1"/>
  </sheetPr>
  <dimension ref="A1:AJ29"/>
  <sheetViews>
    <sheetView workbookViewId="0">
      <pane xSplit="5" ySplit="6" topLeftCell="F7" activePane="bottomRight" state="frozen"/>
      <selection activeCell="M7" sqref="M7"/>
      <selection pane="topRight" activeCell="M7" sqref="M7"/>
      <selection pane="bottomLeft" activeCell="M7" sqref="M7"/>
      <selection pane="bottomRight" activeCell="M7" sqref="M7"/>
    </sheetView>
  </sheetViews>
  <sheetFormatPr defaultRowHeight="15.75" customHeight="1" outlineLevelCol="1"/>
  <cols>
    <col min="1" max="1" width="4.75" style="4" customWidth="1"/>
    <col min="2" max="2" width="17.125" style="4" customWidth="1"/>
    <col min="3" max="3" width="12.25" style="4" customWidth="1"/>
    <col min="4" max="4" width="5.5" style="4" customWidth="1"/>
    <col min="5" max="5" width="5.125" style="116" customWidth="1"/>
    <col min="6" max="6" width="8.375" style="4" customWidth="1"/>
    <col min="7" max="7" width="6.125" style="4" customWidth="1"/>
    <col min="8" max="9" width="9" style="4" outlineLevel="1"/>
    <col min="10" max="10" width="8.375" style="4" customWidth="1" outlineLevel="1"/>
    <col min="11" max="11" width="7.625" style="4" customWidth="1" outlineLevel="1"/>
    <col min="12" max="12" width="5.375" style="4" customWidth="1" outlineLevel="1"/>
    <col min="13" max="13" width="7.625" style="4" customWidth="1"/>
    <col min="14" max="14" width="8.125" style="4" customWidth="1"/>
    <col min="15" max="15" width="8.25" style="4" customWidth="1"/>
    <col min="16" max="16" width="9.25" style="4" customWidth="1"/>
    <col min="17" max="17" width="9" style="4" outlineLevel="1"/>
    <col min="18" max="18" width="8.5" style="4" customWidth="1" outlineLevel="1"/>
    <col min="19" max="19" width="9.375" style="4" customWidth="1" outlineLevel="1"/>
    <col min="20" max="20" width="9" style="4" outlineLevel="1"/>
    <col min="21" max="21" width="6.75" style="4" customWidth="1" outlineLevel="1"/>
    <col min="22" max="22" width="5.25" style="4" customWidth="1" outlineLevel="1"/>
    <col min="23" max="23" width="5.5" style="4" customWidth="1"/>
    <col min="24" max="24" width="7" style="4" customWidth="1"/>
    <col min="25" max="25" width="8.375" style="4" customWidth="1" outlineLevel="1"/>
    <col min="26" max="26" width="8.875" style="4" customWidth="1" outlineLevel="1"/>
    <col min="27" max="27" width="7.75" style="4" customWidth="1" outlineLevel="1"/>
    <col min="28" max="28" width="5.625" style="4" customWidth="1" outlineLevel="1"/>
    <col min="29" max="29" width="7.875" style="4" customWidth="1" outlineLevel="1"/>
    <col min="30" max="30" width="8.25" style="4" customWidth="1" outlineLevel="1"/>
    <col min="31" max="31" width="6.625" style="4" customWidth="1" outlineLevel="1"/>
    <col min="32" max="32" width="9.75" style="4" customWidth="1" outlineLevel="1"/>
    <col min="33" max="33" width="9.875" style="4" customWidth="1" outlineLevel="1"/>
    <col min="34" max="34" width="9.125" style="4" customWidth="1" outlineLevel="1"/>
    <col min="35" max="36" width="5.5" style="4" customWidth="1"/>
    <col min="37" max="16384" width="9" style="4"/>
  </cols>
  <sheetData>
    <row r="1" spans="1:36" ht="7.5" customHeight="1">
      <c r="A1" s="272" t="s">
        <v>130</v>
      </c>
      <c r="B1" s="196" t="s">
        <v>131</v>
      </c>
      <c r="C1" s="196"/>
      <c r="D1" s="196"/>
      <c r="E1" s="524"/>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s="114" customFormat="1" ht="27" customHeight="1">
      <c r="A2" s="790" t="s">
        <v>876</v>
      </c>
      <c r="B2" s="791"/>
      <c r="C2" s="791"/>
      <c r="D2" s="791"/>
      <c r="E2" s="791"/>
      <c r="F2" s="791"/>
      <c r="G2" s="791"/>
      <c r="H2" s="791"/>
      <c r="I2" s="791"/>
      <c r="J2" s="791"/>
      <c r="K2" s="791"/>
      <c r="L2" s="791"/>
      <c r="M2" s="791"/>
      <c r="N2" s="791"/>
      <c r="O2" s="791"/>
      <c r="P2" s="791"/>
      <c r="Q2" s="791"/>
      <c r="R2" s="791"/>
      <c r="S2" s="791"/>
      <c r="T2" s="791"/>
      <c r="U2" s="791"/>
      <c r="V2" s="791"/>
      <c r="W2" s="791"/>
      <c r="X2" s="113"/>
      <c r="Y2" s="113"/>
      <c r="Z2" s="113"/>
      <c r="AA2" s="113"/>
      <c r="AB2" s="113"/>
      <c r="AC2" s="113"/>
      <c r="AD2" s="113"/>
      <c r="AE2" s="113"/>
      <c r="AF2" s="113"/>
      <c r="AG2" s="113"/>
      <c r="AH2" s="113"/>
      <c r="AI2" s="113"/>
      <c r="AJ2" s="113"/>
    </row>
    <row r="3" spans="1:36" ht="14.1" customHeight="1">
      <c r="A3" s="792" t="e">
        <f>CONCATENATE(#REF!,#REF!,#REF!,#REF!,#REF!,#REF!,#REF!)</f>
        <v>#REF!</v>
      </c>
      <c r="B3" s="792"/>
      <c r="C3" s="792"/>
      <c r="D3" s="792"/>
      <c r="E3" s="792"/>
      <c r="F3" s="792"/>
      <c r="G3" s="792"/>
      <c r="H3" s="792"/>
      <c r="I3" s="792"/>
      <c r="J3" s="792"/>
      <c r="K3" s="808"/>
      <c r="L3" s="808"/>
      <c r="M3" s="808"/>
      <c r="N3" s="808"/>
      <c r="O3" s="808"/>
      <c r="P3" s="808"/>
      <c r="Q3" s="808"/>
      <c r="R3" s="808"/>
      <c r="S3" s="808"/>
      <c r="T3" s="808"/>
      <c r="U3" s="808"/>
      <c r="V3" s="808"/>
      <c r="W3" s="808"/>
      <c r="X3" s="122"/>
      <c r="Y3" s="122"/>
      <c r="Z3" s="122"/>
      <c r="AA3" s="122"/>
      <c r="AB3" s="122"/>
      <c r="AC3" s="122"/>
      <c r="AD3" s="122"/>
      <c r="AE3" s="122"/>
      <c r="AF3" s="122"/>
      <c r="AG3" s="122"/>
      <c r="AH3" s="122"/>
      <c r="AI3" s="122"/>
      <c r="AJ3" s="122"/>
    </row>
    <row r="4" spans="1:36" ht="15.75" customHeight="1">
      <c r="A4" s="115" t="e">
        <f>#REF!&amp;#REF!</f>
        <v>#REF!</v>
      </c>
      <c r="W4" s="106" t="s">
        <v>3</v>
      </c>
      <c r="X4" s="106"/>
      <c r="Y4" s="527"/>
      <c r="Z4" s="527"/>
      <c r="AA4" s="527"/>
      <c r="AB4" s="527"/>
      <c r="AC4" s="527"/>
      <c r="AD4" s="527"/>
      <c r="AE4" s="527"/>
      <c r="AF4" s="139"/>
      <c r="AG4" s="139"/>
      <c r="AH4" s="528">
        <v>1</v>
      </c>
      <c r="AI4" s="106"/>
      <c r="AJ4" s="106"/>
    </row>
    <row r="5" spans="1:36" s="1" customFormat="1" ht="15.75" customHeight="1">
      <c r="A5" s="815" t="s">
        <v>4</v>
      </c>
      <c r="B5" s="815" t="s">
        <v>251</v>
      </c>
      <c r="C5" s="819" t="s">
        <v>769</v>
      </c>
      <c r="D5" s="819" t="s">
        <v>770</v>
      </c>
      <c r="E5" s="817" t="s">
        <v>771</v>
      </c>
      <c r="F5" s="837" t="s">
        <v>328</v>
      </c>
      <c r="G5" s="837" t="s">
        <v>329</v>
      </c>
      <c r="H5" s="837" t="s">
        <v>426</v>
      </c>
      <c r="I5" s="837"/>
      <c r="J5" s="837"/>
      <c r="K5" s="837"/>
      <c r="L5" s="817" t="s">
        <v>714</v>
      </c>
      <c r="M5" s="824" t="s">
        <v>706</v>
      </c>
      <c r="N5" s="825"/>
      <c r="O5" s="825"/>
      <c r="P5" s="826"/>
      <c r="Q5" s="837" t="s">
        <v>0</v>
      </c>
      <c r="R5" s="838"/>
      <c r="S5" s="838"/>
      <c r="T5" s="838"/>
      <c r="U5" s="817" t="s">
        <v>916</v>
      </c>
      <c r="V5" s="837" t="s">
        <v>20</v>
      </c>
      <c r="W5" s="837" t="s">
        <v>72</v>
      </c>
      <c r="X5" s="523"/>
      <c r="Y5" s="532"/>
      <c r="Z5" s="532"/>
      <c r="AA5" s="532"/>
      <c r="AB5" s="532"/>
      <c r="AC5" s="532"/>
      <c r="AD5" s="532"/>
      <c r="AE5" s="532"/>
      <c r="AF5" s="533"/>
      <c r="AG5" s="533">
        <v>0.06</v>
      </c>
      <c r="AH5" s="533">
        <v>4.8500000000000001E-2</v>
      </c>
      <c r="AI5" s="567"/>
      <c r="AJ5" s="523"/>
    </row>
    <row r="6" spans="1:36" s="116" customFormat="1" ht="15.75" customHeight="1">
      <c r="A6" s="816"/>
      <c r="B6" s="816"/>
      <c r="C6" s="820"/>
      <c r="D6" s="820"/>
      <c r="E6" s="827"/>
      <c r="F6" s="816"/>
      <c r="G6" s="816"/>
      <c r="H6" s="102" t="s">
        <v>252</v>
      </c>
      <c r="I6" s="102" t="s">
        <v>253</v>
      </c>
      <c r="J6" s="473" t="s">
        <v>254</v>
      </c>
      <c r="K6" s="102" t="s">
        <v>176</v>
      </c>
      <c r="L6" s="827"/>
      <c r="M6" s="102" t="s">
        <v>252</v>
      </c>
      <c r="N6" s="102" t="s">
        <v>253</v>
      </c>
      <c r="O6" s="473" t="s">
        <v>254</v>
      </c>
      <c r="P6" s="102" t="s">
        <v>176</v>
      </c>
      <c r="Q6" s="102" t="s">
        <v>252</v>
      </c>
      <c r="R6" s="102" t="s">
        <v>253</v>
      </c>
      <c r="S6" s="473" t="s">
        <v>254</v>
      </c>
      <c r="T6" s="102" t="s">
        <v>176</v>
      </c>
      <c r="U6" s="818"/>
      <c r="V6" s="816"/>
      <c r="W6" s="816"/>
      <c r="X6" s="505"/>
      <c r="Y6" s="529" t="s">
        <v>1067</v>
      </c>
      <c r="Z6" s="568" t="s">
        <v>1099</v>
      </c>
      <c r="AA6" s="569" t="s">
        <v>1100</v>
      </c>
      <c r="AB6" s="569" t="s">
        <v>1101</v>
      </c>
      <c r="AC6" s="569" t="s">
        <v>1107</v>
      </c>
      <c r="AD6" s="569" t="s">
        <v>1102</v>
      </c>
      <c r="AE6" s="569" t="s">
        <v>1103</v>
      </c>
      <c r="AF6" s="569" t="s">
        <v>1104</v>
      </c>
      <c r="AG6" s="569" t="s">
        <v>1105</v>
      </c>
      <c r="AH6" s="569" t="s">
        <v>1039</v>
      </c>
      <c r="AI6" s="570" t="s">
        <v>1106</v>
      </c>
      <c r="AJ6" s="505"/>
    </row>
    <row r="7" spans="1:36" ht="15.75" customHeight="1">
      <c r="A7" s="105">
        <v>1</v>
      </c>
      <c r="B7" s="128"/>
      <c r="C7" s="128"/>
      <c r="D7" s="105">
        <v>1</v>
      </c>
      <c r="E7" s="102" t="s">
        <v>1065</v>
      </c>
      <c r="F7" s="476"/>
      <c r="G7" s="476"/>
      <c r="H7" s="142"/>
      <c r="I7" s="142"/>
      <c r="J7" s="142"/>
      <c r="K7" s="142">
        <f>H7+I7+J7</f>
        <v>0</v>
      </c>
      <c r="L7" s="142"/>
      <c r="M7" s="142">
        <f>H7</f>
        <v>0</v>
      </c>
      <c r="N7" s="142">
        <f>I7</f>
        <v>0</v>
      </c>
      <c r="O7" s="142">
        <f>J7</f>
        <v>0</v>
      </c>
      <c r="P7" s="142">
        <f>M7+N7+O7</f>
        <v>0</v>
      </c>
      <c r="Q7" s="142">
        <f>AA7</f>
        <v>0</v>
      </c>
      <c r="R7" s="142">
        <f>AH7</f>
        <v>0</v>
      </c>
      <c r="S7" s="142">
        <f>AD7/1.11+AF7+AG7</f>
        <v>0</v>
      </c>
      <c r="T7" s="142">
        <f>(Q7+R7+S7)*AI7%</f>
        <v>0</v>
      </c>
      <c r="U7" s="142" t="str">
        <f>IF(P7=0,"",(T7-P7))</f>
        <v/>
      </c>
      <c r="V7" s="142" t="str">
        <f>IF(P7=0,"",(T7-P7)/P7*100)</f>
        <v/>
      </c>
      <c r="W7" s="120"/>
      <c r="X7" s="490"/>
      <c r="Y7" s="530">
        <v>0</v>
      </c>
      <c r="Z7" s="571">
        <f>Y7*D7</f>
        <v>0</v>
      </c>
      <c r="AA7" s="572">
        <f>Z7/1.17</f>
        <v>0</v>
      </c>
      <c r="AB7" s="573"/>
      <c r="AC7" s="572">
        <f>Z7*AB7</f>
        <v>0</v>
      </c>
      <c r="AD7" s="572">
        <f>Z7*AB7/1.11</f>
        <v>0</v>
      </c>
      <c r="AE7" s="574"/>
      <c r="AF7" s="572">
        <f>Z7*AE7</f>
        <v>0</v>
      </c>
      <c r="AG7" s="572">
        <f>(Z7+AD7+AF7)*AG$5</f>
        <v>0</v>
      </c>
      <c r="AH7" s="572">
        <f>(Z7+AD7+AF7+AG7)*AH$4*AH$5/2</f>
        <v>0</v>
      </c>
      <c r="AI7" s="575"/>
      <c r="AJ7" s="490"/>
    </row>
    <row r="8" spans="1:36" ht="15.75" customHeight="1">
      <c r="A8" s="105">
        <v>2</v>
      </c>
      <c r="B8" s="128"/>
      <c r="C8" s="128"/>
      <c r="D8" s="105">
        <v>1</v>
      </c>
      <c r="E8" s="102" t="s">
        <v>1065</v>
      </c>
      <c r="F8" s="476"/>
      <c r="G8" s="476"/>
      <c r="H8" s="142"/>
      <c r="I8" s="142"/>
      <c r="J8" s="142"/>
      <c r="K8" s="142">
        <f t="shared" ref="K8:K20" si="0">H8+I8+J8</f>
        <v>0</v>
      </c>
      <c r="L8" s="142"/>
      <c r="M8" s="142">
        <f t="shared" ref="M8:M20" si="1">H8</f>
        <v>0</v>
      </c>
      <c r="N8" s="142">
        <f t="shared" ref="N8:N20" si="2">I8</f>
        <v>0</v>
      </c>
      <c r="O8" s="142">
        <f t="shared" ref="O8:O20" si="3">J8</f>
        <v>0</v>
      </c>
      <c r="P8" s="142">
        <f t="shared" ref="P8:P20" si="4">M8+N8+O8</f>
        <v>0</v>
      </c>
      <c r="Q8" s="142">
        <f t="shared" ref="Q8:Q20" si="5">AA8</f>
        <v>0</v>
      </c>
      <c r="R8" s="142">
        <f t="shared" ref="R8:R20" si="6">AH8</f>
        <v>0</v>
      </c>
      <c r="S8" s="142">
        <f t="shared" ref="S8:S20" si="7">AD8/1.11+AF8+AG8</f>
        <v>0</v>
      </c>
      <c r="T8" s="142">
        <f t="shared" ref="T8:T20" si="8">(Q8+R8+S8)*AI8%</f>
        <v>0</v>
      </c>
      <c r="U8" s="142" t="str">
        <f t="shared" ref="U8:U20" si="9">IF(P8=0,"",(T8-P8))</f>
        <v/>
      </c>
      <c r="V8" s="142" t="str">
        <f t="shared" ref="V8:V20" si="10">IF(P8=0,"",(T8-P8)/P8*100)</f>
        <v/>
      </c>
      <c r="W8" s="120"/>
      <c r="X8" s="490"/>
      <c r="Y8" s="531"/>
      <c r="Z8" s="571">
        <f t="shared" ref="Z8:Z20" si="11">Y8*D8</f>
        <v>0</v>
      </c>
      <c r="AA8" s="572">
        <f t="shared" ref="AA8:AA20" si="12">Z8/1.17</f>
        <v>0</v>
      </c>
      <c r="AB8" s="573"/>
      <c r="AC8" s="572">
        <f t="shared" ref="AC8:AC20" si="13">Z8*AB8</f>
        <v>0</v>
      </c>
      <c r="AD8" s="572">
        <f t="shared" ref="AD8:AD20" si="14">Z8*AB8/1.11</f>
        <v>0</v>
      </c>
      <c r="AE8" s="574"/>
      <c r="AF8" s="572">
        <f t="shared" ref="AF8:AF20" si="15">Z8*AE8</f>
        <v>0</v>
      </c>
      <c r="AG8" s="572">
        <f t="shared" ref="AG8:AG20" si="16">(Z8+AD8+AF8)*AG$5</f>
        <v>0</v>
      </c>
      <c r="AH8" s="572">
        <f t="shared" ref="AH8:AH20" si="17">(Z8+AD8+AF8+AG8)*AH$4*AH$5/2</f>
        <v>0</v>
      </c>
      <c r="AI8" s="575"/>
      <c r="AJ8" s="490"/>
    </row>
    <row r="9" spans="1:36" ht="15.75" customHeight="1">
      <c r="A9" s="105">
        <v>3</v>
      </c>
      <c r="B9" s="128"/>
      <c r="C9" s="128"/>
      <c r="D9" s="105">
        <v>1</v>
      </c>
      <c r="E9" s="102" t="s">
        <v>1065</v>
      </c>
      <c r="F9" s="476"/>
      <c r="G9" s="476"/>
      <c r="H9" s="142"/>
      <c r="I9" s="142"/>
      <c r="J9" s="142"/>
      <c r="K9" s="142">
        <f t="shared" si="0"/>
        <v>0</v>
      </c>
      <c r="L9" s="142"/>
      <c r="M9" s="142">
        <f t="shared" si="1"/>
        <v>0</v>
      </c>
      <c r="N9" s="142">
        <f t="shared" si="2"/>
        <v>0</v>
      </c>
      <c r="O9" s="142">
        <f t="shared" si="3"/>
        <v>0</v>
      </c>
      <c r="P9" s="142">
        <f t="shared" si="4"/>
        <v>0</v>
      </c>
      <c r="Q9" s="142">
        <f t="shared" si="5"/>
        <v>0</v>
      </c>
      <c r="R9" s="142">
        <f t="shared" si="6"/>
        <v>0</v>
      </c>
      <c r="S9" s="142">
        <f t="shared" si="7"/>
        <v>0</v>
      </c>
      <c r="T9" s="142">
        <f t="shared" si="8"/>
        <v>0</v>
      </c>
      <c r="U9" s="142" t="str">
        <f t="shared" si="9"/>
        <v/>
      </c>
      <c r="V9" s="142" t="str">
        <f t="shared" si="10"/>
        <v/>
      </c>
      <c r="W9" s="120"/>
      <c r="X9" s="490"/>
      <c r="Y9" s="490"/>
      <c r="Z9" s="571">
        <f t="shared" si="11"/>
        <v>0</v>
      </c>
      <c r="AA9" s="572">
        <f t="shared" si="12"/>
        <v>0</v>
      </c>
      <c r="AB9" s="573"/>
      <c r="AC9" s="572">
        <f t="shared" si="13"/>
        <v>0</v>
      </c>
      <c r="AD9" s="572">
        <f t="shared" si="14"/>
        <v>0</v>
      </c>
      <c r="AE9" s="574"/>
      <c r="AF9" s="572">
        <f t="shared" si="15"/>
        <v>0</v>
      </c>
      <c r="AG9" s="572">
        <f t="shared" si="16"/>
        <v>0</v>
      </c>
      <c r="AH9" s="572">
        <f t="shared" si="17"/>
        <v>0</v>
      </c>
      <c r="AI9" s="575"/>
      <c r="AJ9" s="490"/>
    </row>
    <row r="10" spans="1:36" ht="15.75" customHeight="1">
      <c r="A10" s="105"/>
      <c r="B10" s="128"/>
      <c r="C10" s="128"/>
      <c r="D10" s="105"/>
      <c r="E10" s="102" t="s">
        <v>1065</v>
      </c>
      <c r="F10" s="476"/>
      <c r="G10" s="476"/>
      <c r="H10" s="142"/>
      <c r="I10" s="142"/>
      <c r="J10" s="142"/>
      <c r="K10" s="142">
        <f t="shared" si="0"/>
        <v>0</v>
      </c>
      <c r="L10" s="142"/>
      <c r="M10" s="142">
        <f t="shared" si="1"/>
        <v>0</v>
      </c>
      <c r="N10" s="142">
        <f t="shared" si="2"/>
        <v>0</v>
      </c>
      <c r="O10" s="142">
        <f t="shared" si="3"/>
        <v>0</v>
      </c>
      <c r="P10" s="142">
        <f t="shared" si="4"/>
        <v>0</v>
      </c>
      <c r="Q10" s="142">
        <f t="shared" si="5"/>
        <v>0</v>
      </c>
      <c r="R10" s="142">
        <f t="shared" si="6"/>
        <v>0</v>
      </c>
      <c r="S10" s="142">
        <f t="shared" si="7"/>
        <v>0</v>
      </c>
      <c r="T10" s="142">
        <f t="shared" si="8"/>
        <v>0</v>
      </c>
      <c r="U10" s="142" t="str">
        <f t="shared" si="9"/>
        <v/>
      </c>
      <c r="V10" s="142" t="str">
        <f t="shared" si="10"/>
        <v/>
      </c>
      <c r="W10" s="120"/>
      <c r="X10" s="490"/>
      <c r="Y10" s="490"/>
      <c r="Z10" s="571">
        <f t="shared" si="11"/>
        <v>0</v>
      </c>
      <c r="AA10" s="572">
        <f t="shared" si="12"/>
        <v>0</v>
      </c>
      <c r="AB10" s="573"/>
      <c r="AC10" s="572">
        <f t="shared" si="13"/>
        <v>0</v>
      </c>
      <c r="AD10" s="572">
        <f t="shared" si="14"/>
        <v>0</v>
      </c>
      <c r="AE10" s="574"/>
      <c r="AF10" s="572">
        <f t="shared" si="15"/>
        <v>0</v>
      </c>
      <c r="AG10" s="572">
        <f t="shared" si="16"/>
        <v>0</v>
      </c>
      <c r="AH10" s="572">
        <f t="shared" si="17"/>
        <v>0</v>
      </c>
      <c r="AI10" s="575"/>
      <c r="AJ10" s="490"/>
    </row>
    <row r="11" spans="1:36" ht="15.75" customHeight="1">
      <c r="A11" s="105"/>
      <c r="B11" s="128"/>
      <c r="C11" s="128"/>
      <c r="D11" s="105"/>
      <c r="E11" s="102" t="s">
        <v>1065</v>
      </c>
      <c r="F11" s="476"/>
      <c r="G11" s="476"/>
      <c r="H11" s="142"/>
      <c r="I11" s="142"/>
      <c r="J11" s="142"/>
      <c r="K11" s="142">
        <f t="shared" si="0"/>
        <v>0</v>
      </c>
      <c r="L11" s="142"/>
      <c r="M11" s="142">
        <f t="shared" si="1"/>
        <v>0</v>
      </c>
      <c r="N11" s="142">
        <f t="shared" si="2"/>
        <v>0</v>
      </c>
      <c r="O11" s="142">
        <f t="shared" si="3"/>
        <v>0</v>
      </c>
      <c r="P11" s="142">
        <f t="shared" si="4"/>
        <v>0</v>
      </c>
      <c r="Q11" s="142">
        <f t="shared" si="5"/>
        <v>0</v>
      </c>
      <c r="R11" s="142">
        <f t="shared" si="6"/>
        <v>0</v>
      </c>
      <c r="S11" s="142">
        <f t="shared" si="7"/>
        <v>0</v>
      </c>
      <c r="T11" s="142">
        <f t="shared" si="8"/>
        <v>0</v>
      </c>
      <c r="U11" s="142" t="str">
        <f t="shared" si="9"/>
        <v/>
      </c>
      <c r="V11" s="142" t="str">
        <f t="shared" si="10"/>
        <v/>
      </c>
      <c r="W11" s="120"/>
      <c r="X11" s="490"/>
      <c r="Y11" s="490"/>
      <c r="Z11" s="571">
        <f t="shared" si="11"/>
        <v>0</v>
      </c>
      <c r="AA11" s="572">
        <f t="shared" si="12"/>
        <v>0</v>
      </c>
      <c r="AB11" s="573"/>
      <c r="AC11" s="572">
        <f t="shared" si="13"/>
        <v>0</v>
      </c>
      <c r="AD11" s="572">
        <f t="shared" si="14"/>
        <v>0</v>
      </c>
      <c r="AE11" s="574"/>
      <c r="AF11" s="572">
        <f t="shared" si="15"/>
        <v>0</v>
      </c>
      <c r="AG11" s="572">
        <f t="shared" si="16"/>
        <v>0</v>
      </c>
      <c r="AH11" s="572">
        <f t="shared" si="17"/>
        <v>0</v>
      </c>
      <c r="AI11" s="575"/>
      <c r="AJ11" s="490"/>
    </row>
    <row r="12" spans="1:36" ht="15.75" customHeight="1">
      <c r="A12" s="105"/>
      <c r="B12" s="128"/>
      <c r="C12" s="128"/>
      <c r="D12" s="105"/>
      <c r="E12" s="102" t="s">
        <v>1065</v>
      </c>
      <c r="F12" s="476"/>
      <c r="G12" s="476"/>
      <c r="H12" s="142"/>
      <c r="I12" s="142"/>
      <c r="J12" s="142"/>
      <c r="K12" s="142">
        <f t="shared" si="0"/>
        <v>0</v>
      </c>
      <c r="L12" s="142"/>
      <c r="M12" s="142">
        <f t="shared" si="1"/>
        <v>0</v>
      </c>
      <c r="N12" s="142">
        <f t="shared" si="2"/>
        <v>0</v>
      </c>
      <c r="O12" s="142">
        <f t="shared" si="3"/>
        <v>0</v>
      </c>
      <c r="P12" s="142">
        <f t="shared" si="4"/>
        <v>0</v>
      </c>
      <c r="Q12" s="142">
        <f t="shared" si="5"/>
        <v>0</v>
      </c>
      <c r="R12" s="142">
        <f t="shared" si="6"/>
        <v>0</v>
      </c>
      <c r="S12" s="142">
        <f t="shared" si="7"/>
        <v>0</v>
      </c>
      <c r="T12" s="142">
        <f t="shared" si="8"/>
        <v>0</v>
      </c>
      <c r="U12" s="142" t="str">
        <f t="shared" si="9"/>
        <v/>
      </c>
      <c r="V12" s="142" t="str">
        <f t="shared" si="10"/>
        <v/>
      </c>
      <c r="W12" s="120"/>
      <c r="X12" s="490"/>
      <c r="Y12" s="490"/>
      <c r="Z12" s="571">
        <f t="shared" si="11"/>
        <v>0</v>
      </c>
      <c r="AA12" s="572">
        <f t="shared" si="12"/>
        <v>0</v>
      </c>
      <c r="AB12" s="573"/>
      <c r="AC12" s="572">
        <f t="shared" si="13"/>
        <v>0</v>
      </c>
      <c r="AD12" s="572">
        <f t="shared" si="14"/>
        <v>0</v>
      </c>
      <c r="AE12" s="574"/>
      <c r="AF12" s="572">
        <f t="shared" si="15"/>
        <v>0</v>
      </c>
      <c r="AG12" s="572">
        <f t="shared" si="16"/>
        <v>0</v>
      </c>
      <c r="AH12" s="572">
        <f t="shared" si="17"/>
        <v>0</v>
      </c>
      <c r="AI12" s="575"/>
      <c r="AJ12" s="490"/>
    </row>
    <row r="13" spans="1:36" ht="15.75" customHeight="1">
      <c r="A13" s="105"/>
      <c r="B13" s="128"/>
      <c r="C13" s="128"/>
      <c r="D13" s="105"/>
      <c r="E13" s="102" t="s">
        <v>1065</v>
      </c>
      <c r="F13" s="476"/>
      <c r="G13" s="476"/>
      <c r="H13" s="142"/>
      <c r="I13" s="142"/>
      <c r="J13" s="142"/>
      <c r="K13" s="142">
        <f t="shared" si="0"/>
        <v>0</v>
      </c>
      <c r="L13" s="142"/>
      <c r="M13" s="142">
        <f t="shared" si="1"/>
        <v>0</v>
      </c>
      <c r="N13" s="142">
        <f t="shared" si="2"/>
        <v>0</v>
      </c>
      <c r="O13" s="142">
        <f t="shared" si="3"/>
        <v>0</v>
      </c>
      <c r="P13" s="142">
        <f t="shared" si="4"/>
        <v>0</v>
      </c>
      <c r="Q13" s="142">
        <f t="shared" si="5"/>
        <v>0</v>
      </c>
      <c r="R13" s="142">
        <f t="shared" si="6"/>
        <v>0</v>
      </c>
      <c r="S13" s="142">
        <f t="shared" si="7"/>
        <v>0</v>
      </c>
      <c r="T13" s="142">
        <f t="shared" si="8"/>
        <v>0</v>
      </c>
      <c r="U13" s="142" t="str">
        <f t="shared" si="9"/>
        <v/>
      </c>
      <c r="V13" s="142" t="str">
        <f t="shared" si="10"/>
        <v/>
      </c>
      <c r="W13" s="120"/>
      <c r="X13" s="490"/>
      <c r="Y13" s="490"/>
      <c r="Z13" s="571">
        <f t="shared" si="11"/>
        <v>0</v>
      </c>
      <c r="AA13" s="572">
        <f t="shared" si="12"/>
        <v>0</v>
      </c>
      <c r="AB13" s="573"/>
      <c r="AC13" s="572">
        <f t="shared" si="13"/>
        <v>0</v>
      </c>
      <c r="AD13" s="572">
        <f t="shared" si="14"/>
        <v>0</v>
      </c>
      <c r="AE13" s="574"/>
      <c r="AF13" s="572">
        <f t="shared" si="15"/>
        <v>0</v>
      </c>
      <c r="AG13" s="572">
        <f t="shared" si="16"/>
        <v>0</v>
      </c>
      <c r="AH13" s="572">
        <f t="shared" si="17"/>
        <v>0</v>
      </c>
      <c r="AI13" s="575"/>
      <c r="AJ13" s="490"/>
    </row>
    <row r="14" spans="1:36" ht="15.75" customHeight="1">
      <c r="A14" s="105"/>
      <c r="B14" s="128"/>
      <c r="C14" s="128"/>
      <c r="D14" s="105"/>
      <c r="E14" s="102" t="s">
        <v>1065</v>
      </c>
      <c r="F14" s="476"/>
      <c r="G14" s="476"/>
      <c r="H14" s="142"/>
      <c r="I14" s="142"/>
      <c r="J14" s="142"/>
      <c r="K14" s="142">
        <f t="shared" si="0"/>
        <v>0</v>
      </c>
      <c r="L14" s="142"/>
      <c r="M14" s="142">
        <f t="shared" si="1"/>
        <v>0</v>
      </c>
      <c r="N14" s="142">
        <f t="shared" si="2"/>
        <v>0</v>
      </c>
      <c r="O14" s="142">
        <f t="shared" si="3"/>
        <v>0</v>
      </c>
      <c r="P14" s="142">
        <f t="shared" si="4"/>
        <v>0</v>
      </c>
      <c r="Q14" s="142">
        <f t="shared" si="5"/>
        <v>0</v>
      </c>
      <c r="R14" s="142">
        <f t="shared" si="6"/>
        <v>0</v>
      </c>
      <c r="S14" s="142">
        <f t="shared" si="7"/>
        <v>0</v>
      </c>
      <c r="T14" s="142">
        <f t="shared" si="8"/>
        <v>0</v>
      </c>
      <c r="U14" s="142" t="str">
        <f t="shared" si="9"/>
        <v/>
      </c>
      <c r="V14" s="142" t="str">
        <f t="shared" si="10"/>
        <v/>
      </c>
      <c r="W14" s="120"/>
      <c r="X14" s="490"/>
      <c r="Y14" s="490"/>
      <c r="Z14" s="571">
        <f t="shared" si="11"/>
        <v>0</v>
      </c>
      <c r="AA14" s="572">
        <f t="shared" si="12"/>
        <v>0</v>
      </c>
      <c r="AB14" s="573"/>
      <c r="AC14" s="572">
        <f t="shared" si="13"/>
        <v>0</v>
      </c>
      <c r="AD14" s="572">
        <f t="shared" si="14"/>
        <v>0</v>
      </c>
      <c r="AE14" s="574"/>
      <c r="AF14" s="572">
        <f t="shared" si="15"/>
        <v>0</v>
      </c>
      <c r="AG14" s="572">
        <f t="shared" si="16"/>
        <v>0</v>
      </c>
      <c r="AH14" s="572">
        <f t="shared" si="17"/>
        <v>0</v>
      </c>
      <c r="AI14" s="575"/>
      <c r="AJ14" s="490"/>
    </row>
    <row r="15" spans="1:36" ht="15.75" customHeight="1">
      <c r="A15" s="105"/>
      <c r="B15" s="128"/>
      <c r="C15" s="128"/>
      <c r="D15" s="105"/>
      <c r="E15" s="102" t="s">
        <v>1065</v>
      </c>
      <c r="F15" s="476"/>
      <c r="G15" s="476"/>
      <c r="H15" s="142"/>
      <c r="I15" s="142"/>
      <c r="J15" s="142"/>
      <c r="K15" s="142">
        <f t="shared" si="0"/>
        <v>0</v>
      </c>
      <c r="L15" s="142"/>
      <c r="M15" s="142">
        <f t="shared" si="1"/>
        <v>0</v>
      </c>
      <c r="N15" s="142">
        <f t="shared" si="2"/>
        <v>0</v>
      </c>
      <c r="O15" s="142">
        <f t="shared" si="3"/>
        <v>0</v>
      </c>
      <c r="P15" s="142">
        <f t="shared" si="4"/>
        <v>0</v>
      </c>
      <c r="Q15" s="142">
        <f t="shared" si="5"/>
        <v>0</v>
      </c>
      <c r="R15" s="142">
        <f t="shared" si="6"/>
        <v>0</v>
      </c>
      <c r="S15" s="142">
        <f t="shared" si="7"/>
        <v>0</v>
      </c>
      <c r="T15" s="142">
        <f t="shared" si="8"/>
        <v>0</v>
      </c>
      <c r="U15" s="142" t="str">
        <f t="shared" si="9"/>
        <v/>
      </c>
      <c r="V15" s="142" t="str">
        <f t="shared" si="10"/>
        <v/>
      </c>
      <c r="W15" s="120"/>
      <c r="X15" s="490"/>
      <c r="Y15" s="490"/>
      <c r="Z15" s="571">
        <f t="shared" si="11"/>
        <v>0</v>
      </c>
      <c r="AA15" s="572">
        <f t="shared" si="12"/>
        <v>0</v>
      </c>
      <c r="AB15" s="573"/>
      <c r="AC15" s="572">
        <f t="shared" si="13"/>
        <v>0</v>
      </c>
      <c r="AD15" s="572">
        <f t="shared" si="14"/>
        <v>0</v>
      </c>
      <c r="AE15" s="574"/>
      <c r="AF15" s="572">
        <f t="shared" si="15"/>
        <v>0</v>
      </c>
      <c r="AG15" s="572">
        <f t="shared" si="16"/>
        <v>0</v>
      </c>
      <c r="AH15" s="572">
        <f t="shared" si="17"/>
        <v>0</v>
      </c>
      <c r="AI15" s="575"/>
      <c r="AJ15" s="490"/>
    </row>
    <row r="16" spans="1:36" ht="15.75" customHeight="1">
      <c r="A16" s="105"/>
      <c r="B16" s="128"/>
      <c r="C16" s="128"/>
      <c r="D16" s="105"/>
      <c r="E16" s="102" t="s">
        <v>1065</v>
      </c>
      <c r="F16" s="476"/>
      <c r="G16" s="476"/>
      <c r="H16" s="142"/>
      <c r="I16" s="142"/>
      <c r="J16" s="142"/>
      <c r="K16" s="142">
        <f t="shared" si="0"/>
        <v>0</v>
      </c>
      <c r="L16" s="142"/>
      <c r="M16" s="142">
        <f t="shared" si="1"/>
        <v>0</v>
      </c>
      <c r="N16" s="142">
        <f t="shared" si="2"/>
        <v>0</v>
      </c>
      <c r="O16" s="142">
        <f t="shared" si="3"/>
        <v>0</v>
      </c>
      <c r="P16" s="142">
        <f t="shared" si="4"/>
        <v>0</v>
      </c>
      <c r="Q16" s="142">
        <f t="shared" si="5"/>
        <v>0</v>
      </c>
      <c r="R16" s="142">
        <f t="shared" si="6"/>
        <v>0</v>
      </c>
      <c r="S16" s="142">
        <f t="shared" si="7"/>
        <v>0</v>
      </c>
      <c r="T16" s="142">
        <f t="shared" si="8"/>
        <v>0</v>
      </c>
      <c r="U16" s="142" t="str">
        <f t="shared" si="9"/>
        <v/>
      </c>
      <c r="V16" s="142" t="str">
        <f t="shared" si="10"/>
        <v/>
      </c>
      <c r="W16" s="120"/>
      <c r="X16" s="490"/>
      <c r="Y16" s="490"/>
      <c r="Z16" s="571">
        <f t="shared" si="11"/>
        <v>0</v>
      </c>
      <c r="AA16" s="572">
        <f t="shared" si="12"/>
        <v>0</v>
      </c>
      <c r="AB16" s="573"/>
      <c r="AC16" s="572">
        <f t="shared" si="13"/>
        <v>0</v>
      </c>
      <c r="AD16" s="572">
        <f t="shared" si="14"/>
        <v>0</v>
      </c>
      <c r="AE16" s="574"/>
      <c r="AF16" s="572">
        <f t="shared" si="15"/>
        <v>0</v>
      </c>
      <c r="AG16" s="572">
        <f t="shared" si="16"/>
        <v>0</v>
      </c>
      <c r="AH16" s="572">
        <f t="shared" si="17"/>
        <v>0</v>
      </c>
      <c r="AI16" s="575"/>
      <c r="AJ16" s="490"/>
    </row>
    <row r="17" spans="1:36" ht="15.75" customHeight="1">
      <c r="A17" s="105"/>
      <c r="B17" s="128"/>
      <c r="C17" s="128"/>
      <c r="D17" s="105"/>
      <c r="E17" s="102" t="s">
        <v>1065</v>
      </c>
      <c r="F17" s="476"/>
      <c r="G17" s="476"/>
      <c r="H17" s="142"/>
      <c r="I17" s="142"/>
      <c r="J17" s="142"/>
      <c r="K17" s="142">
        <f t="shared" si="0"/>
        <v>0</v>
      </c>
      <c r="L17" s="142"/>
      <c r="M17" s="142">
        <f t="shared" si="1"/>
        <v>0</v>
      </c>
      <c r="N17" s="142">
        <f t="shared" si="2"/>
        <v>0</v>
      </c>
      <c r="O17" s="142">
        <f t="shared" si="3"/>
        <v>0</v>
      </c>
      <c r="P17" s="142">
        <f t="shared" si="4"/>
        <v>0</v>
      </c>
      <c r="Q17" s="142">
        <f t="shared" si="5"/>
        <v>0</v>
      </c>
      <c r="R17" s="142">
        <f t="shared" si="6"/>
        <v>0</v>
      </c>
      <c r="S17" s="142">
        <f t="shared" si="7"/>
        <v>0</v>
      </c>
      <c r="T17" s="142">
        <f t="shared" si="8"/>
        <v>0</v>
      </c>
      <c r="U17" s="142" t="str">
        <f t="shared" si="9"/>
        <v/>
      </c>
      <c r="V17" s="142" t="str">
        <f t="shared" si="10"/>
        <v/>
      </c>
      <c r="W17" s="120"/>
      <c r="X17" s="490"/>
      <c r="Y17" s="490"/>
      <c r="Z17" s="571">
        <f t="shared" si="11"/>
        <v>0</v>
      </c>
      <c r="AA17" s="572">
        <f t="shared" si="12"/>
        <v>0</v>
      </c>
      <c r="AB17" s="573"/>
      <c r="AC17" s="572">
        <f t="shared" si="13"/>
        <v>0</v>
      </c>
      <c r="AD17" s="572">
        <f t="shared" si="14"/>
        <v>0</v>
      </c>
      <c r="AE17" s="574"/>
      <c r="AF17" s="572">
        <f t="shared" si="15"/>
        <v>0</v>
      </c>
      <c r="AG17" s="572">
        <f t="shared" si="16"/>
        <v>0</v>
      </c>
      <c r="AH17" s="572">
        <f t="shared" si="17"/>
        <v>0</v>
      </c>
      <c r="AI17" s="575"/>
      <c r="AJ17" s="490"/>
    </row>
    <row r="18" spans="1:36" ht="15.75" customHeight="1">
      <c r="A18" s="105"/>
      <c r="B18" s="128"/>
      <c r="C18" s="128"/>
      <c r="D18" s="105"/>
      <c r="E18" s="102" t="s">
        <v>1065</v>
      </c>
      <c r="F18" s="476"/>
      <c r="G18" s="476"/>
      <c r="H18" s="142"/>
      <c r="I18" s="142"/>
      <c r="J18" s="142"/>
      <c r="K18" s="142">
        <f t="shared" si="0"/>
        <v>0</v>
      </c>
      <c r="L18" s="142"/>
      <c r="M18" s="142">
        <f t="shared" si="1"/>
        <v>0</v>
      </c>
      <c r="N18" s="142">
        <f t="shared" si="2"/>
        <v>0</v>
      </c>
      <c r="O18" s="142">
        <f t="shared" si="3"/>
        <v>0</v>
      </c>
      <c r="P18" s="142">
        <f t="shared" si="4"/>
        <v>0</v>
      </c>
      <c r="Q18" s="142">
        <f t="shared" si="5"/>
        <v>0</v>
      </c>
      <c r="R18" s="142">
        <f t="shared" si="6"/>
        <v>0</v>
      </c>
      <c r="S18" s="142">
        <f t="shared" si="7"/>
        <v>0</v>
      </c>
      <c r="T18" s="142">
        <f t="shared" si="8"/>
        <v>0</v>
      </c>
      <c r="U18" s="142" t="str">
        <f t="shared" si="9"/>
        <v/>
      </c>
      <c r="V18" s="142" t="str">
        <f t="shared" si="10"/>
        <v/>
      </c>
      <c r="W18" s="120"/>
      <c r="X18" s="490"/>
      <c r="Y18" s="490"/>
      <c r="Z18" s="571">
        <f t="shared" si="11"/>
        <v>0</v>
      </c>
      <c r="AA18" s="572">
        <f t="shared" si="12"/>
        <v>0</v>
      </c>
      <c r="AB18" s="573"/>
      <c r="AC18" s="572">
        <f t="shared" si="13"/>
        <v>0</v>
      </c>
      <c r="AD18" s="572">
        <f t="shared" si="14"/>
        <v>0</v>
      </c>
      <c r="AE18" s="574"/>
      <c r="AF18" s="572">
        <f t="shared" si="15"/>
        <v>0</v>
      </c>
      <c r="AG18" s="572">
        <f t="shared" si="16"/>
        <v>0</v>
      </c>
      <c r="AH18" s="572">
        <f t="shared" si="17"/>
        <v>0</v>
      </c>
      <c r="AI18" s="575"/>
      <c r="AJ18" s="490"/>
    </row>
    <row r="19" spans="1:36" ht="15.75" customHeight="1">
      <c r="A19" s="105"/>
      <c r="B19" s="128"/>
      <c r="C19" s="128"/>
      <c r="D19" s="105"/>
      <c r="E19" s="102" t="s">
        <v>1065</v>
      </c>
      <c r="F19" s="476"/>
      <c r="G19" s="476"/>
      <c r="H19" s="142"/>
      <c r="I19" s="142"/>
      <c r="J19" s="142"/>
      <c r="K19" s="142">
        <f t="shared" si="0"/>
        <v>0</v>
      </c>
      <c r="L19" s="142"/>
      <c r="M19" s="142">
        <f t="shared" si="1"/>
        <v>0</v>
      </c>
      <c r="N19" s="142">
        <f t="shared" si="2"/>
        <v>0</v>
      </c>
      <c r="O19" s="142">
        <f t="shared" si="3"/>
        <v>0</v>
      </c>
      <c r="P19" s="142">
        <f t="shared" si="4"/>
        <v>0</v>
      </c>
      <c r="Q19" s="142">
        <f t="shared" si="5"/>
        <v>0</v>
      </c>
      <c r="R19" s="142">
        <f t="shared" si="6"/>
        <v>0</v>
      </c>
      <c r="S19" s="142">
        <f t="shared" si="7"/>
        <v>0</v>
      </c>
      <c r="T19" s="142">
        <f t="shared" si="8"/>
        <v>0</v>
      </c>
      <c r="U19" s="142" t="str">
        <f t="shared" si="9"/>
        <v/>
      </c>
      <c r="V19" s="142" t="str">
        <f t="shared" si="10"/>
        <v/>
      </c>
      <c r="W19" s="120"/>
      <c r="X19" s="490"/>
      <c r="Y19" s="490"/>
      <c r="Z19" s="571">
        <f t="shared" si="11"/>
        <v>0</v>
      </c>
      <c r="AA19" s="572">
        <f t="shared" si="12"/>
        <v>0</v>
      </c>
      <c r="AB19" s="573"/>
      <c r="AC19" s="572">
        <f t="shared" si="13"/>
        <v>0</v>
      </c>
      <c r="AD19" s="572">
        <f t="shared" si="14"/>
        <v>0</v>
      </c>
      <c r="AE19" s="574"/>
      <c r="AF19" s="572">
        <f t="shared" si="15"/>
        <v>0</v>
      </c>
      <c r="AG19" s="572">
        <f t="shared" si="16"/>
        <v>0</v>
      </c>
      <c r="AH19" s="572">
        <f t="shared" si="17"/>
        <v>0</v>
      </c>
      <c r="AI19" s="575"/>
      <c r="AJ19" s="490"/>
    </row>
    <row r="20" spans="1:36" ht="15.75" customHeight="1">
      <c r="A20" s="105"/>
      <c r="B20" s="128"/>
      <c r="C20" s="128"/>
      <c r="D20" s="105"/>
      <c r="E20" s="102" t="s">
        <v>1065</v>
      </c>
      <c r="F20" s="476"/>
      <c r="G20" s="476"/>
      <c r="H20" s="142"/>
      <c r="I20" s="142"/>
      <c r="J20" s="142"/>
      <c r="K20" s="142">
        <f t="shared" si="0"/>
        <v>0</v>
      </c>
      <c r="L20" s="142"/>
      <c r="M20" s="142">
        <f t="shared" si="1"/>
        <v>0</v>
      </c>
      <c r="N20" s="142">
        <f t="shared" si="2"/>
        <v>0</v>
      </c>
      <c r="O20" s="142">
        <f t="shared" si="3"/>
        <v>0</v>
      </c>
      <c r="P20" s="142">
        <f t="shared" si="4"/>
        <v>0</v>
      </c>
      <c r="Q20" s="142">
        <f t="shared" si="5"/>
        <v>0</v>
      </c>
      <c r="R20" s="142">
        <f t="shared" si="6"/>
        <v>0</v>
      </c>
      <c r="S20" s="142">
        <f t="shared" si="7"/>
        <v>0</v>
      </c>
      <c r="T20" s="142">
        <f t="shared" si="8"/>
        <v>0</v>
      </c>
      <c r="U20" s="142" t="str">
        <f t="shared" si="9"/>
        <v/>
      </c>
      <c r="V20" s="142" t="str">
        <f t="shared" si="10"/>
        <v/>
      </c>
      <c r="W20" s="120"/>
      <c r="X20" s="490"/>
      <c r="Y20" s="490"/>
      <c r="Z20" s="571">
        <f t="shared" si="11"/>
        <v>0</v>
      </c>
      <c r="AA20" s="572">
        <f t="shared" si="12"/>
        <v>0</v>
      </c>
      <c r="AB20" s="573"/>
      <c r="AC20" s="572">
        <f t="shared" si="13"/>
        <v>0</v>
      </c>
      <c r="AD20" s="572">
        <f t="shared" si="14"/>
        <v>0</v>
      </c>
      <c r="AE20" s="574"/>
      <c r="AF20" s="572">
        <f t="shared" si="15"/>
        <v>0</v>
      </c>
      <c r="AG20" s="572">
        <f t="shared" si="16"/>
        <v>0</v>
      </c>
      <c r="AH20" s="572">
        <f t="shared" si="17"/>
        <v>0</v>
      </c>
      <c r="AI20" s="575"/>
      <c r="AJ20" s="490"/>
    </row>
    <row r="21" spans="1:36" ht="15.75" customHeight="1">
      <c r="A21" s="105"/>
      <c r="B21" s="128"/>
      <c r="C21" s="128"/>
      <c r="D21" s="128"/>
      <c r="E21" s="105"/>
      <c r="F21" s="476"/>
      <c r="G21" s="476"/>
      <c r="H21" s="142"/>
      <c r="I21" s="142"/>
      <c r="J21" s="142"/>
      <c r="K21" s="142"/>
      <c r="L21" s="142"/>
      <c r="M21" s="142"/>
      <c r="N21" s="142"/>
      <c r="O21" s="142"/>
      <c r="P21" s="142"/>
      <c r="Q21" s="142"/>
      <c r="R21" s="142"/>
      <c r="S21" s="142"/>
      <c r="T21" s="142"/>
      <c r="U21" s="142" t="str">
        <f>IF(P21=0,"",(T21-P21))</f>
        <v/>
      </c>
      <c r="V21" s="142" t="str">
        <f>IF(P21=0,"",(T21-P21)/P21*100)</f>
        <v/>
      </c>
      <c r="W21" s="120"/>
      <c r="X21" s="490"/>
      <c r="Y21" s="490"/>
      <c r="Z21" s="490"/>
      <c r="AA21" s="490"/>
      <c r="AB21" s="490"/>
      <c r="AC21" s="490"/>
      <c r="AD21" s="490"/>
      <c r="AE21" s="490"/>
      <c r="AF21" s="490"/>
      <c r="AG21" s="490"/>
      <c r="AH21" s="490"/>
      <c r="AI21" s="490"/>
      <c r="AJ21" s="490"/>
    </row>
    <row r="22" spans="1:36" ht="15.75" customHeight="1">
      <c r="A22" s="105"/>
      <c r="B22" s="128"/>
      <c r="C22" s="128"/>
      <c r="D22" s="128"/>
      <c r="E22" s="105"/>
      <c r="F22" s="476"/>
      <c r="G22" s="476"/>
      <c r="H22" s="142"/>
      <c r="I22" s="142"/>
      <c r="J22" s="142"/>
      <c r="K22" s="142"/>
      <c r="L22" s="142"/>
      <c r="M22" s="142"/>
      <c r="N22" s="142"/>
      <c r="O22" s="142"/>
      <c r="P22" s="142"/>
      <c r="Q22" s="142"/>
      <c r="R22" s="142"/>
      <c r="S22" s="142"/>
      <c r="T22" s="142"/>
      <c r="U22" s="142" t="str">
        <f>IF(P22=0,"",(T22-P22))</f>
        <v/>
      </c>
      <c r="V22" s="142" t="str">
        <f>IF(P22=0,"",(T22-P22)/P22*100)</f>
        <v/>
      </c>
      <c r="W22" s="120"/>
      <c r="X22" s="490"/>
      <c r="Y22" s="490"/>
      <c r="Z22" s="490"/>
      <c r="AA22" s="490"/>
      <c r="AB22" s="490"/>
      <c r="AC22" s="490"/>
      <c r="AD22" s="490"/>
      <c r="AE22" s="490"/>
      <c r="AF22" s="490"/>
      <c r="AG22" s="490"/>
      <c r="AH22" s="490"/>
      <c r="AI22" s="490"/>
      <c r="AJ22" s="490"/>
    </row>
    <row r="23" spans="1:36" ht="15.75" customHeight="1">
      <c r="A23" s="105"/>
      <c r="B23" s="128"/>
      <c r="C23" s="128"/>
      <c r="D23" s="128"/>
      <c r="E23" s="105"/>
      <c r="F23" s="476"/>
      <c r="G23" s="476"/>
      <c r="H23" s="142"/>
      <c r="I23" s="142"/>
      <c r="J23" s="142"/>
      <c r="K23" s="142"/>
      <c r="L23" s="142"/>
      <c r="M23" s="142"/>
      <c r="N23" s="142"/>
      <c r="O23" s="142"/>
      <c r="P23" s="142"/>
      <c r="Q23" s="142"/>
      <c r="R23" s="142"/>
      <c r="S23" s="142"/>
      <c r="T23" s="142"/>
      <c r="U23" s="142" t="str">
        <f>IF(P23=0,"",(T23-P23))</f>
        <v/>
      </c>
      <c r="V23" s="142" t="str">
        <f>IF(P23=0,"",(T23-P23)/P23*100)</f>
        <v/>
      </c>
      <c r="W23" s="120"/>
      <c r="X23" s="490"/>
      <c r="Y23" s="490"/>
      <c r="Z23" s="490"/>
      <c r="AA23" s="490"/>
      <c r="AB23" s="490"/>
      <c r="AC23" s="490"/>
      <c r="AD23" s="490"/>
      <c r="AE23" s="490"/>
      <c r="AF23" s="490"/>
      <c r="AG23" s="490"/>
      <c r="AH23" s="490"/>
      <c r="AI23" s="490"/>
      <c r="AJ23" s="490"/>
    </row>
    <row r="24" spans="1:36" ht="15.75" customHeight="1">
      <c r="A24" s="105"/>
      <c r="B24" s="128"/>
      <c r="C24" s="128"/>
      <c r="D24" s="128"/>
      <c r="E24" s="105"/>
      <c r="F24" s="476"/>
      <c r="G24" s="476"/>
      <c r="H24" s="142"/>
      <c r="I24" s="142"/>
      <c r="J24" s="142"/>
      <c r="K24" s="142"/>
      <c r="L24" s="142"/>
      <c r="M24" s="142"/>
      <c r="N24" s="142"/>
      <c r="O24" s="142"/>
      <c r="P24" s="142"/>
      <c r="Q24" s="142"/>
      <c r="R24" s="142"/>
      <c r="S24" s="142"/>
      <c r="T24" s="142"/>
      <c r="U24" s="142" t="str">
        <f>IF(P24=0,"",(T24-P24))</f>
        <v/>
      </c>
      <c r="V24" s="142" t="str">
        <f>IF(P24=0,"",(T24-P24)/P24*100)</f>
        <v/>
      </c>
      <c r="W24" s="120"/>
      <c r="X24" s="490"/>
      <c r="Y24" s="490"/>
      <c r="Z24" s="490"/>
      <c r="AA24" s="490"/>
      <c r="AB24" s="490"/>
      <c r="AC24" s="490"/>
      <c r="AD24" s="490"/>
      <c r="AE24" s="490"/>
      <c r="AF24" s="490"/>
      <c r="AG24" s="490"/>
      <c r="AH24" s="490"/>
      <c r="AI24" s="490"/>
      <c r="AJ24" s="490"/>
    </row>
    <row r="25" spans="1:36" ht="15.75" customHeight="1">
      <c r="A25" s="105"/>
      <c r="B25" s="128"/>
      <c r="C25" s="128"/>
      <c r="D25" s="128"/>
      <c r="E25" s="105"/>
      <c r="F25" s="476"/>
      <c r="G25" s="476"/>
      <c r="H25" s="142"/>
      <c r="I25" s="142"/>
      <c r="J25" s="142"/>
      <c r="K25" s="142"/>
      <c r="L25" s="142"/>
      <c r="M25" s="142"/>
      <c r="N25" s="142"/>
      <c r="O25" s="142"/>
      <c r="P25" s="142"/>
      <c r="Q25" s="142"/>
      <c r="R25" s="142"/>
      <c r="S25" s="142"/>
      <c r="T25" s="142"/>
      <c r="U25" s="142" t="str">
        <f>IF(P25=0,"",(T25-P25))</f>
        <v/>
      </c>
      <c r="V25" s="142" t="str">
        <f>IF(P25=0,"",(T25-P25)/P25*100)</f>
        <v/>
      </c>
      <c r="W25" s="120"/>
      <c r="X25" s="490"/>
      <c r="Y25" s="490"/>
      <c r="Z25" s="490"/>
      <c r="AA25" s="490"/>
      <c r="AB25" s="490"/>
      <c r="AC25" s="490"/>
      <c r="AD25" s="490"/>
      <c r="AE25" s="490"/>
      <c r="AF25" s="490"/>
      <c r="AG25" s="490"/>
      <c r="AH25" s="490"/>
      <c r="AI25" s="490"/>
      <c r="AJ25" s="490"/>
    </row>
    <row r="26" spans="1:36" ht="15.75" customHeight="1">
      <c r="A26" s="105"/>
      <c r="B26" s="128"/>
      <c r="C26" s="128"/>
      <c r="D26" s="128"/>
      <c r="E26" s="105"/>
      <c r="F26" s="121"/>
      <c r="G26" s="121"/>
      <c r="H26" s="142"/>
      <c r="I26" s="142"/>
      <c r="J26" s="142"/>
      <c r="K26" s="142"/>
      <c r="L26" s="142"/>
      <c r="M26" s="142"/>
      <c r="N26" s="142"/>
      <c r="O26" s="142"/>
      <c r="P26" s="142"/>
      <c r="Q26" s="142"/>
      <c r="R26" s="142"/>
      <c r="S26" s="142"/>
      <c r="T26" s="142"/>
      <c r="U26" s="142"/>
      <c r="V26" s="142"/>
      <c r="W26" s="120"/>
      <c r="X26" s="490"/>
      <c r="Y26" s="490"/>
      <c r="Z26" s="490"/>
      <c r="AA26" s="490"/>
      <c r="AB26" s="490"/>
      <c r="AC26" s="490"/>
      <c r="AD26" s="490"/>
      <c r="AE26" s="490"/>
      <c r="AF26" s="490"/>
      <c r="AG26" s="490"/>
      <c r="AH26" s="490"/>
      <c r="AI26" s="490"/>
      <c r="AJ26" s="490"/>
    </row>
    <row r="27" spans="1:36" ht="15.75" customHeight="1">
      <c r="A27" s="809" t="s">
        <v>36</v>
      </c>
      <c r="B27" s="810"/>
      <c r="C27" s="110"/>
      <c r="D27" s="110"/>
      <c r="E27" s="110"/>
      <c r="F27" s="121"/>
      <c r="G27" s="121"/>
      <c r="H27" s="142"/>
      <c r="I27" s="142"/>
      <c r="J27" s="142"/>
      <c r="K27" s="142">
        <f>SUM(K7:K26)</f>
        <v>0</v>
      </c>
      <c r="L27" s="142"/>
      <c r="M27" s="142"/>
      <c r="N27" s="142"/>
      <c r="O27" s="142"/>
      <c r="P27" s="142">
        <f>SUM(P7:P26)</f>
        <v>0</v>
      </c>
      <c r="Q27" s="142"/>
      <c r="R27" s="142"/>
      <c r="S27" s="142"/>
      <c r="T27" s="142">
        <f>SUM(T7:T26)</f>
        <v>0</v>
      </c>
      <c r="U27" s="142"/>
      <c r="V27" s="142" t="str">
        <f>IF(P27=0,"",(T27-P27)/P27*100)</f>
        <v/>
      </c>
      <c r="W27" s="120"/>
      <c r="X27" s="490"/>
      <c r="Y27" s="490"/>
      <c r="Z27" s="490"/>
      <c r="AA27" s="490"/>
      <c r="AB27" s="490"/>
      <c r="AC27" s="490"/>
      <c r="AD27" s="490"/>
      <c r="AE27" s="490"/>
      <c r="AF27" s="490"/>
      <c r="AG27" s="490"/>
      <c r="AH27" s="490"/>
      <c r="AI27" s="490"/>
      <c r="AJ27" s="490"/>
    </row>
    <row r="28" spans="1:36" ht="15.75" customHeight="1">
      <c r="A28" s="101" t="e">
        <f>#REF!&amp;#REF!</f>
        <v>#REF!</v>
      </c>
      <c r="P28" s="101" t="e">
        <f>"评估人员："&amp;#REF!</f>
        <v>#REF!</v>
      </c>
    </row>
    <row r="29" spans="1:36" ht="15.75" customHeight="1">
      <c r="A29" s="101" t="e">
        <f>CONCATENATE(#REF!,#REF!,#REF!,#REF!,#REF!,#REF!,#REF!)</f>
        <v>#REF!</v>
      </c>
    </row>
  </sheetData>
  <autoFilter ref="A6:W6"/>
  <mergeCells count="17">
    <mergeCell ref="A2:W2"/>
    <mergeCell ref="W5:W6"/>
    <mergeCell ref="A3:W3"/>
    <mergeCell ref="A5:A6"/>
    <mergeCell ref="B5:B6"/>
    <mergeCell ref="F5:F6"/>
    <mergeCell ref="G5:G6"/>
    <mergeCell ref="L5:L6"/>
    <mergeCell ref="M5:P5"/>
    <mergeCell ref="U5:U6"/>
    <mergeCell ref="A27:B27"/>
    <mergeCell ref="V5:V6"/>
    <mergeCell ref="Q5:T5"/>
    <mergeCell ref="H5:K5"/>
    <mergeCell ref="C5:C6"/>
    <mergeCell ref="D5:D6"/>
    <mergeCell ref="E5:E6"/>
  </mergeCells>
  <phoneticPr fontId="6" type="noConversion"/>
  <hyperlinks>
    <hyperlink ref="A1" location="索引目录!E49" display="其他无形资产"/>
    <hyperlink ref="B1" location="在建工程汇总!B7" display="在建工程-设备安装工程"/>
  </hyperlinks>
  <printOptions horizontalCentered="1"/>
  <pageMargins left="0.35433070866141736" right="0.35433070866141736" top="0.78740157480314965" bottom="0.78740157480314965" header="1.03" footer="0.51181102362204722"/>
  <pageSetup paperSize="9" scale="65" fitToHeight="0" orientation="landscape" horizontalDpi="4294967292" r:id="rId1"/>
  <headerFooter alignWithMargins="0">
    <oddHeader>&amp;R&amp;"宋体,常规"&amp;10表&amp;"Times New Roman,常规"4-7-2
&amp;"宋体,常规"共&amp;"Times New Roman,常规"&amp;N&amp;"宋体,常规"页第&amp;"Times New Roman,常规"&amp;P&amp;"宋体,常规"页</oddHeader>
  </headerFooter>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Q29"/>
  <sheetViews>
    <sheetView workbookViewId="0">
      <pane xSplit="8" ySplit="6" topLeftCell="I7" activePane="bottomRight" state="frozen"/>
      <selection activeCell="M7" sqref="M7"/>
      <selection pane="topRight" activeCell="M7" sqref="M7"/>
      <selection pane="bottomLeft" activeCell="M7" sqref="M7"/>
      <selection pane="bottomRight" activeCell="M7" sqref="M7"/>
    </sheetView>
  </sheetViews>
  <sheetFormatPr defaultRowHeight="15.75" customHeight="1" outlineLevelCol="1"/>
  <cols>
    <col min="1" max="1" width="4.5" style="4" customWidth="1"/>
    <col min="2" max="2" width="19" style="4" customWidth="1"/>
    <col min="3" max="3" width="9" style="4"/>
    <col min="4" max="4" width="4.5" style="4" customWidth="1"/>
    <col min="5" max="5" width="5.625" style="4" customWidth="1" outlineLevel="1"/>
    <col min="6" max="6" width="9.625" style="4" customWidth="1" outlineLevel="1"/>
    <col min="7" max="7" width="12.125" style="4" customWidth="1" outlineLevel="1"/>
    <col min="8" max="8" width="5.25" style="4" customWidth="1" outlineLevel="1"/>
    <col min="9" max="9" width="5.5" style="4" customWidth="1"/>
    <col min="10" max="10" width="10" style="4" customWidth="1"/>
    <col min="11" max="11" width="12.25" style="4" customWidth="1"/>
    <col min="12" max="12" width="5.125" style="4" customWidth="1"/>
    <col min="13" max="13" width="9.5" style="4" customWidth="1"/>
    <col min="14" max="14" width="12.75" style="4" customWidth="1"/>
    <col min="15" max="15" width="8.125" style="4" customWidth="1"/>
    <col min="16" max="16" width="5.75" style="4" customWidth="1"/>
    <col min="17" max="16384" width="9" style="4"/>
  </cols>
  <sheetData>
    <row r="1" spans="1:17" ht="14.25">
      <c r="A1" s="272" t="s">
        <v>130</v>
      </c>
      <c r="B1" s="196" t="s">
        <v>131</v>
      </c>
      <c r="C1" s="1"/>
      <c r="D1" s="1"/>
      <c r="E1" s="1"/>
      <c r="F1" s="1"/>
      <c r="G1" s="1"/>
      <c r="H1" s="1"/>
      <c r="I1" s="1"/>
      <c r="J1" s="1"/>
      <c r="K1" s="1"/>
      <c r="L1" s="1"/>
      <c r="M1" s="1"/>
      <c r="N1" s="1"/>
      <c r="O1" s="1"/>
      <c r="P1" s="1"/>
      <c r="Q1" s="1"/>
    </row>
    <row r="2" spans="1:17" s="114" customFormat="1" ht="30" customHeight="1">
      <c r="A2" s="790" t="s">
        <v>875</v>
      </c>
      <c r="B2" s="791"/>
      <c r="C2" s="791"/>
      <c r="D2" s="791"/>
      <c r="E2" s="791"/>
      <c r="F2" s="791"/>
      <c r="G2" s="791"/>
      <c r="H2" s="791"/>
      <c r="I2" s="791"/>
      <c r="J2" s="791"/>
      <c r="K2" s="791"/>
      <c r="L2" s="791"/>
      <c r="M2" s="791"/>
      <c r="N2" s="791"/>
      <c r="O2" s="791"/>
      <c r="P2" s="791"/>
      <c r="Q2" s="791"/>
    </row>
    <row r="3" spans="1:17" ht="14.1" customHeight="1">
      <c r="A3" s="792" t="e">
        <f>CONCATENATE(#REF!,#REF!,#REF!,#REF!,#REF!,#REF!,#REF!)</f>
        <v>#REF!</v>
      </c>
      <c r="B3" s="792"/>
      <c r="C3" s="792"/>
      <c r="D3" s="792"/>
      <c r="E3" s="792"/>
      <c r="F3" s="792"/>
      <c r="G3" s="792"/>
      <c r="H3" s="792"/>
      <c r="I3" s="792"/>
      <c r="J3" s="792"/>
      <c r="K3" s="808"/>
      <c r="L3" s="808"/>
      <c r="M3" s="808"/>
      <c r="N3" s="808"/>
      <c r="O3" s="808"/>
      <c r="P3" s="808"/>
      <c r="Q3" s="808"/>
    </row>
    <row r="4" spans="1:17" ht="15.75" customHeight="1">
      <c r="A4" s="115" t="e">
        <f>#REF!&amp;#REF!</f>
        <v>#REF!</v>
      </c>
      <c r="Q4" s="106" t="s">
        <v>3</v>
      </c>
    </row>
    <row r="5" spans="1:17" s="1" customFormat="1" ht="15.75" customHeight="1">
      <c r="A5" s="815" t="s">
        <v>4</v>
      </c>
      <c r="B5" s="815" t="s">
        <v>85</v>
      </c>
      <c r="C5" s="815" t="s">
        <v>261</v>
      </c>
      <c r="D5" s="837" t="s">
        <v>323</v>
      </c>
      <c r="E5" s="837" t="s">
        <v>426</v>
      </c>
      <c r="F5" s="837"/>
      <c r="G5" s="837"/>
      <c r="H5" s="817" t="s">
        <v>713</v>
      </c>
      <c r="I5" s="824" t="s">
        <v>315</v>
      </c>
      <c r="J5" s="825"/>
      <c r="K5" s="826"/>
      <c r="L5" s="837" t="s">
        <v>262</v>
      </c>
      <c r="M5" s="837" t="s">
        <v>0</v>
      </c>
      <c r="N5" s="838"/>
      <c r="O5" s="817" t="s">
        <v>916</v>
      </c>
      <c r="P5" s="837" t="s">
        <v>263</v>
      </c>
      <c r="Q5" s="837" t="s">
        <v>72</v>
      </c>
    </row>
    <row r="6" spans="1:17" s="116" customFormat="1" ht="15.75" customHeight="1">
      <c r="A6" s="816"/>
      <c r="B6" s="816"/>
      <c r="C6" s="816"/>
      <c r="D6" s="816"/>
      <c r="E6" s="102" t="s">
        <v>87</v>
      </c>
      <c r="F6" s="102" t="s">
        <v>264</v>
      </c>
      <c r="G6" s="102" t="s">
        <v>71</v>
      </c>
      <c r="H6" s="827"/>
      <c r="I6" s="102" t="s">
        <v>87</v>
      </c>
      <c r="J6" s="102" t="s">
        <v>264</v>
      </c>
      <c r="K6" s="102" t="s">
        <v>71</v>
      </c>
      <c r="L6" s="816"/>
      <c r="M6" s="102" t="s">
        <v>264</v>
      </c>
      <c r="N6" s="102" t="s">
        <v>71</v>
      </c>
      <c r="O6" s="818"/>
      <c r="P6" s="816"/>
      <c r="Q6" s="816"/>
    </row>
    <row r="7" spans="1:17" ht="15.75" customHeight="1">
      <c r="A7" s="105">
        <v>1</v>
      </c>
      <c r="B7" s="128"/>
      <c r="C7" s="128"/>
      <c r="D7" s="105"/>
      <c r="E7" s="162">
        <v>1</v>
      </c>
      <c r="F7" s="142"/>
      <c r="G7" s="142"/>
      <c r="H7" s="142"/>
      <c r="I7" s="153">
        <f>E7</f>
        <v>1</v>
      </c>
      <c r="J7" s="142"/>
      <c r="K7" s="142"/>
      <c r="L7" s="153">
        <f>I7</f>
        <v>1</v>
      </c>
      <c r="M7" s="142"/>
      <c r="N7" s="142"/>
      <c r="O7" s="142" t="str">
        <f>IF(K7=0,"",(N7-K7))</f>
        <v/>
      </c>
      <c r="P7" s="142" t="str">
        <f>IF(K7=0,"",(N7-K7)/K7*100)</f>
        <v/>
      </c>
      <c r="Q7" s="120"/>
    </row>
    <row r="8" spans="1:17" ht="15.75" customHeight="1">
      <c r="A8" s="105">
        <v>2</v>
      </c>
      <c r="B8" s="128"/>
      <c r="C8" s="128"/>
      <c r="D8" s="105"/>
      <c r="E8" s="162"/>
      <c r="F8" s="142"/>
      <c r="G8" s="142"/>
      <c r="H8" s="142"/>
      <c r="I8" s="153">
        <f t="shared" ref="I8:I16" si="0">E8</f>
        <v>0</v>
      </c>
      <c r="J8" s="142"/>
      <c r="K8" s="142"/>
      <c r="L8" s="153"/>
      <c r="M8" s="142"/>
      <c r="N8" s="142"/>
      <c r="O8" s="142"/>
      <c r="P8" s="142" t="str">
        <f t="shared" ref="P8:P27" si="1">IF(K8=0,"",(N8-K8)/K8*100)</f>
        <v/>
      </c>
      <c r="Q8" s="120"/>
    </row>
    <row r="9" spans="1:17" ht="15.75" customHeight="1">
      <c r="A9" s="105">
        <v>3</v>
      </c>
      <c r="B9" s="128"/>
      <c r="C9" s="128"/>
      <c r="D9" s="105"/>
      <c r="E9" s="162"/>
      <c r="F9" s="142"/>
      <c r="G9" s="142"/>
      <c r="H9" s="142"/>
      <c r="I9" s="153">
        <f t="shared" si="0"/>
        <v>0</v>
      </c>
      <c r="J9" s="142"/>
      <c r="K9" s="142"/>
      <c r="L9" s="153"/>
      <c r="M9" s="142"/>
      <c r="N9" s="142"/>
      <c r="O9" s="142"/>
      <c r="P9" s="142" t="str">
        <f t="shared" si="1"/>
        <v/>
      </c>
      <c r="Q9" s="120"/>
    </row>
    <row r="10" spans="1:17" ht="15.75" customHeight="1">
      <c r="A10" s="105">
        <v>4</v>
      </c>
      <c r="B10" s="128"/>
      <c r="C10" s="128"/>
      <c r="D10" s="105"/>
      <c r="E10" s="162"/>
      <c r="F10" s="142"/>
      <c r="G10" s="142"/>
      <c r="H10" s="142"/>
      <c r="I10" s="153">
        <f t="shared" si="0"/>
        <v>0</v>
      </c>
      <c r="J10" s="142"/>
      <c r="K10" s="142"/>
      <c r="L10" s="153"/>
      <c r="M10" s="142"/>
      <c r="N10" s="142"/>
      <c r="O10" s="142"/>
      <c r="P10" s="142" t="str">
        <f t="shared" si="1"/>
        <v/>
      </c>
      <c r="Q10" s="120"/>
    </row>
    <row r="11" spans="1:17" ht="15.75" customHeight="1">
      <c r="A11" s="105">
        <v>5</v>
      </c>
      <c r="B11" s="128"/>
      <c r="C11" s="128"/>
      <c r="D11" s="105"/>
      <c r="E11" s="162"/>
      <c r="F11" s="142"/>
      <c r="G11" s="142"/>
      <c r="H11" s="142"/>
      <c r="I11" s="153">
        <f t="shared" si="0"/>
        <v>0</v>
      </c>
      <c r="J11" s="142"/>
      <c r="K11" s="142"/>
      <c r="L11" s="153"/>
      <c r="M11" s="142"/>
      <c r="N11" s="142"/>
      <c r="O11" s="142"/>
      <c r="P11" s="142" t="str">
        <f t="shared" si="1"/>
        <v/>
      </c>
      <c r="Q11" s="120"/>
    </row>
    <row r="12" spans="1:17" ht="15.75" customHeight="1">
      <c r="A12" s="105">
        <v>6</v>
      </c>
      <c r="B12" s="128"/>
      <c r="C12" s="128"/>
      <c r="D12" s="105"/>
      <c r="E12" s="162"/>
      <c r="F12" s="142"/>
      <c r="G12" s="142"/>
      <c r="H12" s="142"/>
      <c r="I12" s="153">
        <f t="shared" si="0"/>
        <v>0</v>
      </c>
      <c r="J12" s="142"/>
      <c r="K12" s="142"/>
      <c r="L12" s="153"/>
      <c r="M12" s="142"/>
      <c r="N12" s="142"/>
      <c r="O12" s="142"/>
      <c r="P12" s="142" t="str">
        <f t="shared" si="1"/>
        <v/>
      </c>
      <c r="Q12" s="120"/>
    </row>
    <row r="13" spans="1:17" ht="15.75" customHeight="1">
      <c r="A13" s="105">
        <v>7</v>
      </c>
      <c r="B13" s="128"/>
      <c r="C13" s="128"/>
      <c r="D13" s="105"/>
      <c r="E13" s="162"/>
      <c r="F13" s="142"/>
      <c r="G13" s="142"/>
      <c r="H13" s="142"/>
      <c r="I13" s="153">
        <f t="shared" si="0"/>
        <v>0</v>
      </c>
      <c r="J13" s="142"/>
      <c r="K13" s="142"/>
      <c r="L13" s="153"/>
      <c r="M13" s="142"/>
      <c r="N13" s="142"/>
      <c r="O13" s="142"/>
      <c r="P13" s="142" t="str">
        <f t="shared" si="1"/>
        <v/>
      </c>
      <c r="Q13" s="120"/>
    </row>
    <row r="14" spans="1:17" ht="15.75" customHeight="1">
      <c r="A14" s="105">
        <v>8</v>
      </c>
      <c r="B14" s="128"/>
      <c r="C14" s="128"/>
      <c r="D14" s="105"/>
      <c r="E14" s="162"/>
      <c r="F14" s="142"/>
      <c r="G14" s="142"/>
      <c r="H14" s="142"/>
      <c r="I14" s="153">
        <f t="shared" si="0"/>
        <v>0</v>
      </c>
      <c r="J14" s="142"/>
      <c r="K14" s="142"/>
      <c r="L14" s="153"/>
      <c r="M14" s="142"/>
      <c r="N14" s="142"/>
      <c r="O14" s="142"/>
      <c r="P14" s="142" t="str">
        <f t="shared" si="1"/>
        <v/>
      </c>
      <c r="Q14" s="120"/>
    </row>
    <row r="15" spans="1:17" ht="15.75" customHeight="1">
      <c r="A15" s="105">
        <v>9</v>
      </c>
      <c r="B15" s="128"/>
      <c r="C15" s="128"/>
      <c r="D15" s="105"/>
      <c r="E15" s="162"/>
      <c r="F15" s="142"/>
      <c r="G15" s="142"/>
      <c r="H15" s="142"/>
      <c r="I15" s="153">
        <f t="shared" si="0"/>
        <v>0</v>
      </c>
      <c r="J15" s="142"/>
      <c r="K15" s="142"/>
      <c r="L15" s="153"/>
      <c r="M15" s="142"/>
      <c r="N15" s="142"/>
      <c r="O15" s="142"/>
      <c r="P15" s="142" t="str">
        <f t="shared" si="1"/>
        <v/>
      </c>
      <c r="Q15" s="120"/>
    </row>
    <row r="16" spans="1:17" ht="15.75" customHeight="1">
      <c r="A16" s="105">
        <v>10</v>
      </c>
      <c r="B16" s="128"/>
      <c r="C16" s="128"/>
      <c r="D16" s="105"/>
      <c r="E16" s="162"/>
      <c r="F16" s="142"/>
      <c r="G16" s="142"/>
      <c r="H16" s="142"/>
      <c r="I16" s="153">
        <f t="shared" si="0"/>
        <v>0</v>
      </c>
      <c r="J16" s="142"/>
      <c r="K16" s="142"/>
      <c r="L16" s="153"/>
      <c r="M16" s="142"/>
      <c r="N16" s="142"/>
      <c r="O16" s="142"/>
      <c r="P16" s="142" t="str">
        <f t="shared" si="1"/>
        <v/>
      </c>
      <c r="Q16" s="120"/>
    </row>
    <row r="17" spans="1:17" ht="15.75" customHeight="1">
      <c r="A17" s="105"/>
      <c r="B17" s="128"/>
      <c r="C17" s="128"/>
      <c r="D17" s="105"/>
      <c r="E17" s="162"/>
      <c r="F17" s="142"/>
      <c r="G17" s="142"/>
      <c r="H17" s="142"/>
      <c r="I17" s="142"/>
      <c r="J17" s="142"/>
      <c r="K17" s="142"/>
      <c r="L17" s="162"/>
      <c r="M17" s="142"/>
      <c r="N17" s="142"/>
      <c r="O17" s="142"/>
      <c r="P17" s="142" t="str">
        <f t="shared" si="1"/>
        <v/>
      </c>
      <c r="Q17" s="120"/>
    </row>
    <row r="18" spans="1:17" ht="15.75" customHeight="1">
      <c r="A18" s="105"/>
      <c r="B18" s="128"/>
      <c r="C18" s="128"/>
      <c r="D18" s="105"/>
      <c r="E18" s="162"/>
      <c r="F18" s="142"/>
      <c r="G18" s="142"/>
      <c r="H18" s="142"/>
      <c r="I18" s="142"/>
      <c r="J18" s="142"/>
      <c r="K18" s="142"/>
      <c r="L18" s="162"/>
      <c r="M18" s="142"/>
      <c r="N18" s="142"/>
      <c r="O18" s="142"/>
      <c r="P18" s="142" t="str">
        <f t="shared" si="1"/>
        <v/>
      </c>
      <c r="Q18" s="120"/>
    </row>
    <row r="19" spans="1:17" ht="15.75" customHeight="1">
      <c r="A19" s="105"/>
      <c r="B19" s="128"/>
      <c r="C19" s="128"/>
      <c r="D19" s="105"/>
      <c r="E19" s="162"/>
      <c r="F19" s="142"/>
      <c r="G19" s="142"/>
      <c r="H19" s="142"/>
      <c r="I19" s="142"/>
      <c r="J19" s="142"/>
      <c r="K19" s="142"/>
      <c r="L19" s="162"/>
      <c r="M19" s="142"/>
      <c r="N19" s="142"/>
      <c r="O19" s="142"/>
      <c r="P19" s="142" t="str">
        <f t="shared" si="1"/>
        <v/>
      </c>
      <c r="Q19" s="120"/>
    </row>
    <row r="20" spans="1:17" ht="15.75" customHeight="1">
      <c r="A20" s="105"/>
      <c r="B20" s="128"/>
      <c r="C20" s="128"/>
      <c r="D20" s="105"/>
      <c r="E20" s="162"/>
      <c r="F20" s="142"/>
      <c r="G20" s="142"/>
      <c r="H20" s="142"/>
      <c r="I20" s="142"/>
      <c r="J20" s="142"/>
      <c r="K20" s="142"/>
      <c r="L20" s="162"/>
      <c r="M20" s="142"/>
      <c r="N20" s="142"/>
      <c r="O20" s="142"/>
      <c r="P20" s="142" t="str">
        <f t="shared" si="1"/>
        <v/>
      </c>
      <c r="Q20" s="120"/>
    </row>
    <row r="21" spans="1:17" ht="15.75" customHeight="1">
      <c r="A21" s="105"/>
      <c r="B21" s="128"/>
      <c r="C21" s="128"/>
      <c r="D21" s="105"/>
      <c r="E21" s="162"/>
      <c r="F21" s="142"/>
      <c r="G21" s="142"/>
      <c r="H21" s="142"/>
      <c r="I21" s="142"/>
      <c r="J21" s="142"/>
      <c r="K21" s="142"/>
      <c r="L21" s="162"/>
      <c r="M21" s="142"/>
      <c r="N21" s="142"/>
      <c r="O21" s="142"/>
      <c r="P21" s="142" t="str">
        <f t="shared" si="1"/>
        <v/>
      </c>
      <c r="Q21" s="120"/>
    </row>
    <row r="22" spans="1:17" ht="15.75" customHeight="1">
      <c r="A22" s="105"/>
      <c r="B22" s="128"/>
      <c r="C22" s="128"/>
      <c r="D22" s="105"/>
      <c r="E22" s="162"/>
      <c r="F22" s="142"/>
      <c r="G22" s="142"/>
      <c r="H22" s="142"/>
      <c r="I22" s="142"/>
      <c r="J22" s="142"/>
      <c r="K22" s="142"/>
      <c r="L22" s="162"/>
      <c r="M22" s="142"/>
      <c r="N22" s="142"/>
      <c r="O22" s="142"/>
      <c r="P22" s="142" t="str">
        <f t="shared" si="1"/>
        <v/>
      </c>
      <c r="Q22" s="120"/>
    </row>
    <row r="23" spans="1:17" ht="15.75" customHeight="1">
      <c r="A23" s="105"/>
      <c r="B23" s="128"/>
      <c r="C23" s="128"/>
      <c r="D23" s="105"/>
      <c r="E23" s="162"/>
      <c r="F23" s="142"/>
      <c r="G23" s="142"/>
      <c r="H23" s="142"/>
      <c r="I23" s="142"/>
      <c r="J23" s="142"/>
      <c r="K23" s="142"/>
      <c r="L23" s="162"/>
      <c r="M23" s="142"/>
      <c r="N23" s="142"/>
      <c r="O23" s="142"/>
      <c r="P23" s="142" t="str">
        <f t="shared" si="1"/>
        <v/>
      </c>
      <c r="Q23" s="120"/>
    </row>
    <row r="24" spans="1:17" ht="15.75" customHeight="1">
      <c r="A24" s="105"/>
      <c r="B24" s="128"/>
      <c r="C24" s="128"/>
      <c r="D24" s="105"/>
      <c r="E24" s="162"/>
      <c r="F24" s="142"/>
      <c r="G24" s="142"/>
      <c r="H24" s="142"/>
      <c r="I24" s="142"/>
      <c r="J24" s="142"/>
      <c r="K24" s="142"/>
      <c r="L24" s="162"/>
      <c r="M24" s="142"/>
      <c r="N24" s="142"/>
      <c r="O24" s="142"/>
      <c r="P24" s="142" t="str">
        <f t="shared" si="1"/>
        <v/>
      </c>
      <c r="Q24" s="120"/>
    </row>
    <row r="25" spans="1:17" ht="15.75" customHeight="1">
      <c r="A25" s="809" t="s">
        <v>550</v>
      </c>
      <c r="B25" s="810"/>
      <c r="C25" s="128"/>
      <c r="D25" s="105"/>
      <c r="E25" s="162"/>
      <c r="F25" s="142"/>
      <c r="G25" s="142">
        <f>SUM(G7:G24)</f>
        <v>0</v>
      </c>
      <c r="H25" s="142"/>
      <c r="I25" s="142"/>
      <c r="J25" s="142"/>
      <c r="K25" s="142">
        <f>SUM(K7:K24)</f>
        <v>0</v>
      </c>
      <c r="L25" s="162"/>
      <c r="M25" s="142"/>
      <c r="N25" s="142">
        <f>SUM(N7:N24)</f>
        <v>0</v>
      </c>
      <c r="O25" s="142"/>
      <c r="P25" s="142" t="str">
        <f t="shared" si="1"/>
        <v/>
      </c>
      <c r="Q25" s="120"/>
    </row>
    <row r="26" spans="1:17" ht="15.75" customHeight="1">
      <c r="A26" s="809" t="s">
        <v>569</v>
      </c>
      <c r="B26" s="847"/>
      <c r="C26" s="128"/>
      <c r="D26" s="105"/>
      <c r="E26" s="162"/>
      <c r="F26" s="142"/>
      <c r="G26" s="142"/>
      <c r="H26" s="142"/>
      <c r="I26" s="142"/>
      <c r="J26" s="142"/>
      <c r="K26" s="142">
        <f>G26</f>
        <v>0</v>
      </c>
      <c r="L26" s="162"/>
      <c r="M26" s="142"/>
      <c r="N26" s="142">
        <v>0</v>
      </c>
      <c r="O26" s="142"/>
      <c r="P26" s="142" t="str">
        <f t="shared" si="1"/>
        <v/>
      </c>
      <c r="Q26" s="120"/>
    </row>
    <row r="27" spans="1:17" ht="15.75" customHeight="1">
      <c r="A27" s="809" t="s">
        <v>418</v>
      </c>
      <c r="B27" s="810"/>
      <c r="C27" s="124"/>
      <c r="D27" s="120"/>
      <c r="E27" s="162"/>
      <c r="F27" s="142"/>
      <c r="G27" s="142">
        <f>G25-G26</f>
        <v>0</v>
      </c>
      <c r="H27" s="142"/>
      <c r="I27" s="142"/>
      <c r="J27" s="142"/>
      <c r="K27" s="142">
        <f>K25-K26</f>
        <v>0</v>
      </c>
      <c r="L27" s="162"/>
      <c r="M27" s="142"/>
      <c r="N27" s="142">
        <f>N25-N26</f>
        <v>0</v>
      </c>
      <c r="O27" s="142"/>
      <c r="P27" s="142" t="str">
        <f t="shared" si="1"/>
        <v/>
      </c>
      <c r="Q27" s="120"/>
    </row>
    <row r="28" spans="1:17" ht="15.75" customHeight="1">
      <c r="A28" s="101" t="e">
        <f>#REF!&amp;#REF!</f>
        <v>#REF!</v>
      </c>
      <c r="K28" s="129" t="e">
        <f>"评估人员："&amp;#REF!</f>
        <v>#REF!</v>
      </c>
    </row>
    <row r="29" spans="1:17" ht="15.75" customHeight="1">
      <c r="A29" s="101" t="e">
        <f>CONCATENATE(#REF!,#REF!,#REF!,#REF!,#REF!,#REF!,#REF!)</f>
        <v>#REF!</v>
      </c>
    </row>
  </sheetData>
  <autoFilter ref="A6:V6"/>
  <mergeCells count="17">
    <mergeCell ref="A27:B27"/>
    <mergeCell ref="A25:B25"/>
    <mergeCell ref="A26:B26"/>
    <mergeCell ref="H5:H6"/>
    <mergeCell ref="I5:K5"/>
    <mergeCell ref="A2:Q2"/>
    <mergeCell ref="L5:L6"/>
    <mergeCell ref="M5:N5"/>
    <mergeCell ref="A5:A6"/>
    <mergeCell ref="B5:B6"/>
    <mergeCell ref="C5:C6"/>
    <mergeCell ref="D5:D6"/>
    <mergeCell ref="E5:G5"/>
    <mergeCell ref="P5:P6"/>
    <mergeCell ref="Q5:Q6"/>
    <mergeCell ref="A3:Q3"/>
    <mergeCell ref="O5:O6"/>
  </mergeCells>
  <phoneticPr fontId="6" type="noConversion"/>
  <hyperlinks>
    <hyperlink ref="A1" location="索引目录!D44" display="工程物资"/>
    <hyperlink ref="B1" location="固定资产汇总!B22" display="工程物资"/>
  </hyperlinks>
  <printOptions horizontalCentered="1"/>
  <pageMargins left="0.35433070866141736" right="0.35433070866141736" top="0.78740157480314965" bottom="0.78740157480314965" header="1.04" footer="0.51181102362204722"/>
  <pageSetup paperSize="9" fitToHeight="0" orientation="landscape" horizontalDpi="4294967292" r:id="rId1"/>
  <headerFooter alignWithMargins="0">
    <oddHeader>&amp;R&amp;"宋体,常规"&amp;10表&amp;"Times New Roman,常规"4-8
&amp;"宋体,常规"共&amp;"Times New Roman,常规"&amp;N&amp;"宋体,常规"页第&amp;"Times New Roman,常规"&amp;P&amp;"宋体,常规"页</oddHead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1">
    <pageSetUpPr fitToPage="1"/>
  </sheetPr>
  <dimension ref="A1:J29"/>
  <sheetViews>
    <sheetView workbookViewId="0">
      <selection activeCell="H10" sqref="H10"/>
    </sheetView>
  </sheetViews>
  <sheetFormatPr defaultRowHeight="15.75" customHeight="1" outlineLevelCol="1"/>
  <cols>
    <col min="1" max="1" width="7" style="4" customWidth="1"/>
    <col min="2" max="2" width="29.25" style="4" customWidth="1"/>
    <col min="3" max="3" width="18" style="4" customWidth="1"/>
    <col min="4" max="5" width="17.125" style="4" customWidth="1" outlineLevel="1"/>
    <col min="6" max="6" width="18.625" style="4" customWidth="1"/>
    <col min="7" max="8" width="19" style="4" customWidth="1"/>
    <col min="9" max="9" width="15.25" style="4" customWidth="1"/>
    <col min="10" max="10" width="22.75" style="4" customWidth="1"/>
    <col min="11" max="16384" width="9" style="4"/>
  </cols>
  <sheetData>
    <row r="1" spans="1:10" ht="14.25">
      <c r="A1" s="272" t="s">
        <v>130</v>
      </c>
      <c r="B1" s="196" t="s">
        <v>131</v>
      </c>
      <c r="C1" s="1"/>
      <c r="D1" s="1"/>
      <c r="E1" s="1"/>
      <c r="F1" s="1"/>
      <c r="G1" s="1"/>
      <c r="H1" s="1"/>
      <c r="I1" s="1"/>
      <c r="J1" s="1"/>
    </row>
    <row r="2" spans="1:10" s="114" customFormat="1" ht="30" customHeight="1">
      <c r="A2" s="790" t="s">
        <v>874</v>
      </c>
      <c r="B2" s="791"/>
      <c r="C2" s="791"/>
      <c r="D2" s="791"/>
      <c r="E2" s="791"/>
      <c r="F2" s="791"/>
      <c r="G2" s="791"/>
      <c r="H2" s="791"/>
      <c r="I2" s="791"/>
      <c r="J2" s="791"/>
    </row>
    <row r="3" spans="1:10" ht="14.1" customHeight="1">
      <c r="A3" s="792" t="e">
        <f>CONCATENATE(#REF!,#REF!,#REF!,#REF!,#REF!,#REF!,#REF!)</f>
        <v>#REF!</v>
      </c>
      <c r="B3" s="792"/>
      <c r="C3" s="792"/>
      <c r="D3" s="792"/>
      <c r="E3" s="792"/>
      <c r="F3" s="792"/>
      <c r="G3" s="792"/>
      <c r="H3" s="792"/>
      <c r="I3" s="792"/>
      <c r="J3" s="792"/>
    </row>
    <row r="4" spans="1:10" ht="15.75" customHeight="1">
      <c r="A4" s="115" t="e">
        <f>#REF!&amp;#REF!</f>
        <v>#REF!</v>
      </c>
      <c r="J4" s="106" t="s">
        <v>3</v>
      </c>
    </row>
    <row r="5" spans="1:10" s="1" customFormat="1" ht="15.75" customHeight="1">
      <c r="A5" s="2" t="s">
        <v>4</v>
      </c>
      <c r="B5" s="2" t="s">
        <v>250</v>
      </c>
      <c r="C5" s="2" t="s">
        <v>53</v>
      </c>
      <c r="D5" s="2" t="s">
        <v>426</v>
      </c>
      <c r="E5" s="2" t="s">
        <v>710</v>
      </c>
      <c r="F5" s="2" t="s">
        <v>315</v>
      </c>
      <c r="G5" s="2" t="s">
        <v>0</v>
      </c>
      <c r="H5" s="102" t="s">
        <v>1</v>
      </c>
      <c r="I5" s="102" t="s">
        <v>20</v>
      </c>
      <c r="J5" s="2" t="s">
        <v>72</v>
      </c>
    </row>
    <row r="6" spans="1:10" ht="15.75" customHeight="1">
      <c r="A6" s="105"/>
      <c r="B6" s="128"/>
      <c r="C6" s="121"/>
      <c r="D6" s="142"/>
      <c r="E6" s="142"/>
      <c r="F6" s="142"/>
      <c r="G6" s="142"/>
      <c r="H6" s="142" t="str">
        <f>IF(F6=0,"",(G6-F6))</f>
        <v/>
      </c>
      <c r="I6" s="142" t="str">
        <f>IF(F6=0,"",(G6-F6)/F6*100)</f>
        <v/>
      </c>
      <c r="J6" s="120"/>
    </row>
    <row r="7" spans="1:10" ht="15.75" customHeight="1">
      <c r="A7" s="105"/>
      <c r="B7" s="128"/>
      <c r="C7" s="121"/>
      <c r="D7" s="142"/>
      <c r="E7" s="142"/>
      <c r="F7" s="142"/>
      <c r="G7" s="142"/>
      <c r="H7" s="142"/>
      <c r="I7" s="142"/>
      <c r="J7" s="120"/>
    </row>
    <row r="8" spans="1:10" ht="15.75" customHeight="1">
      <c r="A8" s="105"/>
      <c r="B8" s="128"/>
      <c r="C8" s="121"/>
      <c r="D8" s="142"/>
      <c r="E8" s="142"/>
      <c r="F8" s="142"/>
      <c r="G8" s="142"/>
      <c r="H8" s="142"/>
      <c r="I8" s="142"/>
      <c r="J8" s="120"/>
    </row>
    <row r="9" spans="1:10" ht="15.75" customHeight="1">
      <c r="A9" s="105"/>
      <c r="B9" s="128"/>
      <c r="C9" s="121"/>
      <c r="D9" s="142"/>
      <c r="E9" s="142"/>
      <c r="F9" s="142"/>
      <c r="G9" s="142"/>
      <c r="H9" s="142"/>
      <c r="I9" s="142"/>
      <c r="J9" s="120"/>
    </row>
    <row r="10" spans="1:10" ht="15.75" customHeight="1">
      <c r="A10" s="105"/>
      <c r="B10" s="128"/>
      <c r="C10" s="121"/>
      <c r="D10" s="142"/>
      <c r="E10" s="142"/>
      <c r="F10" s="142"/>
      <c r="G10" s="142"/>
      <c r="H10" s="142"/>
      <c r="I10" s="142"/>
      <c r="J10" s="120"/>
    </row>
    <row r="11" spans="1:10" ht="15.75" customHeight="1">
      <c r="A11" s="105"/>
      <c r="B11" s="128"/>
      <c r="C11" s="121"/>
      <c r="D11" s="142"/>
      <c r="E11" s="142"/>
      <c r="F11" s="142"/>
      <c r="G11" s="142"/>
      <c r="H11" s="142"/>
      <c r="I11" s="142"/>
      <c r="J11" s="120"/>
    </row>
    <row r="12" spans="1:10" ht="15.75" customHeight="1">
      <c r="A12" s="105"/>
      <c r="B12" s="128"/>
      <c r="C12" s="121"/>
      <c r="D12" s="142"/>
      <c r="E12" s="142"/>
      <c r="F12" s="142"/>
      <c r="G12" s="142"/>
      <c r="H12" s="142"/>
      <c r="I12" s="142"/>
      <c r="J12" s="120"/>
    </row>
    <row r="13" spans="1:10" ht="15.75" customHeight="1">
      <c r="A13" s="105"/>
      <c r="B13" s="128"/>
      <c r="C13" s="121"/>
      <c r="D13" s="142"/>
      <c r="E13" s="142"/>
      <c r="F13" s="142"/>
      <c r="G13" s="142"/>
      <c r="H13" s="142"/>
      <c r="I13" s="142"/>
      <c r="J13" s="120"/>
    </row>
    <row r="14" spans="1:10" ht="15.75" customHeight="1">
      <c r="A14" s="105"/>
      <c r="B14" s="128"/>
      <c r="C14" s="121"/>
      <c r="D14" s="142"/>
      <c r="E14" s="142"/>
      <c r="F14" s="142"/>
      <c r="G14" s="142"/>
      <c r="H14" s="142"/>
      <c r="I14" s="142"/>
      <c r="J14" s="120"/>
    </row>
    <row r="15" spans="1:10" ht="15.75" customHeight="1">
      <c r="A15" s="105"/>
      <c r="B15" s="128"/>
      <c r="C15" s="121"/>
      <c r="D15" s="142"/>
      <c r="E15" s="142"/>
      <c r="F15" s="142"/>
      <c r="G15" s="142"/>
      <c r="H15" s="142"/>
      <c r="I15" s="142"/>
      <c r="J15" s="120"/>
    </row>
    <row r="16" spans="1:10" ht="15.75" customHeight="1">
      <c r="A16" s="105"/>
      <c r="B16" s="128"/>
      <c r="C16" s="121"/>
      <c r="D16" s="142"/>
      <c r="E16" s="142"/>
      <c r="F16" s="142"/>
      <c r="G16" s="142"/>
      <c r="H16" s="142"/>
      <c r="I16" s="142"/>
      <c r="J16" s="120"/>
    </row>
    <row r="17" spans="1:10" ht="15.75" customHeight="1">
      <c r="A17" s="105"/>
      <c r="B17" s="128"/>
      <c r="C17" s="121"/>
      <c r="D17" s="142"/>
      <c r="E17" s="142"/>
      <c r="F17" s="142"/>
      <c r="G17" s="142"/>
      <c r="H17" s="142"/>
      <c r="I17" s="142"/>
      <c r="J17" s="120"/>
    </row>
    <row r="18" spans="1:10" ht="15.75" customHeight="1">
      <c r="A18" s="105"/>
      <c r="B18" s="128"/>
      <c r="C18" s="121"/>
      <c r="D18" s="142"/>
      <c r="E18" s="142"/>
      <c r="F18" s="142"/>
      <c r="G18" s="142"/>
      <c r="H18" s="142"/>
      <c r="I18" s="142"/>
      <c r="J18" s="120"/>
    </row>
    <row r="19" spans="1:10" ht="15.75" customHeight="1">
      <c r="A19" s="105"/>
      <c r="B19" s="128"/>
      <c r="C19" s="121"/>
      <c r="D19" s="142"/>
      <c r="E19" s="142"/>
      <c r="F19" s="142"/>
      <c r="G19" s="142"/>
      <c r="H19" s="142"/>
      <c r="I19" s="142"/>
      <c r="J19" s="120"/>
    </row>
    <row r="20" spans="1:10" ht="15.75" customHeight="1">
      <c r="A20" s="105"/>
      <c r="B20" s="128"/>
      <c r="C20" s="121"/>
      <c r="D20" s="142"/>
      <c r="E20" s="142"/>
      <c r="F20" s="142"/>
      <c r="G20" s="142"/>
      <c r="H20" s="142"/>
      <c r="I20" s="142"/>
      <c r="J20" s="120"/>
    </row>
    <row r="21" spans="1:10" ht="15.75" customHeight="1">
      <c r="A21" s="105"/>
      <c r="B21" s="128"/>
      <c r="C21" s="121"/>
      <c r="D21" s="142"/>
      <c r="E21" s="142"/>
      <c r="F21" s="142"/>
      <c r="G21" s="142"/>
      <c r="H21" s="142"/>
      <c r="I21" s="142"/>
      <c r="J21" s="120"/>
    </row>
    <row r="22" spans="1:10" ht="15.75" customHeight="1">
      <c r="A22" s="105"/>
      <c r="B22" s="128"/>
      <c r="C22" s="121"/>
      <c r="D22" s="142"/>
      <c r="E22" s="142"/>
      <c r="F22" s="142"/>
      <c r="G22" s="142"/>
      <c r="H22" s="142"/>
      <c r="I22" s="142"/>
      <c r="J22" s="120"/>
    </row>
    <row r="23" spans="1:10" ht="15.75" customHeight="1">
      <c r="A23" s="105"/>
      <c r="B23" s="128"/>
      <c r="C23" s="121"/>
      <c r="D23" s="142"/>
      <c r="E23" s="142"/>
      <c r="F23" s="142"/>
      <c r="G23" s="142"/>
      <c r="H23" s="142"/>
      <c r="I23" s="142"/>
      <c r="J23" s="120"/>
    </row>
    <row r="24" spans="1:10" ht="15.75" customHeight="1">
      <c r="A24" s="105"/>
      <c r="B24" s="128"/>
      <c r="C24" s="121"/>
      <c r="D24" s="142"/>
      <c r="E24" s="142"/>
      <c r="F24" s="142"/>
      <c r="G24" s="142"/>
      <c r="H24" s="142"/>
      <c r="I24" s="142"/>
      <c r="J24" s="120"/>
    </row>
    <row r="25" spans="1:10" ht="15.75" customHeight="1">
      <c r="A25" s="105"/>
      <c r="B25" s="128"/>
      <c r="C25" s="121"/>
      <c r="D25" s="142"/>
      <c r="E25" s="142"/>
      <c r="F25" s="142"/>
      <c r="G25" s="142"/>
      <c r="H25" s="142"/>
      <c r="I25" s="142"/>
      <c r="J25" s="120"/>
    </row>
    <row r="26" spans="1:10" ht="15.75" customHeight="1">
      <c r="A26" s="105"/>
      <c r="B26" s="128"/>
      <c r="C26" s="121"/>
      <c r="D26" s="142"/>
      <c r="E26" s="142"/>
      <c r="F26" s="142"/>
      <c r="G26" s="142"/>
      <c r="H26" s="142"/>
      <c r="I26" s="142"/>
      <c r="J26" s="120"/>
    </row>
    <row r="27" spans="1:10" ht="15.75" customHeight="1">
      <c r="A27" s="809" t="s">
        <v>36</v>
      </c>
      <c r="B27" s="810"/>
      <c r="C27" s="121"/>
      <c r="D27" s="142">
        <f>SUM(D6:D26)</f>
        <v>0</v>
      </c>
      <c r="E27" s="142"/>
      <c r="F27" s="142">
        <f>SUM(F6:F26)</f>
        <v>0</v>
      </c>
      <c r="G27" s="142">
        <f>SUM(G6:G26)</f>
        <v>0</v>
      </c>
      <c r="H27" s="142"/>
      <c r="I27" s="142"/>
      <c r="J27" s="120"/>
    </row>
    <row r="28" spans="1:10" ht="15.75" customHeight="1">
      <c r="A28" s="101" t="e">
        <f>#REF!&amp;#REF!</f>
        <v>#REF!</v>
      </c>
      <c r="F28" s="129" t="e">
        <f>"评估人员："&amp;#REF!</f>
        <v>#REF!</v>
      </c>
    </row>
    <row r="29" spans="1:10" ht="15.75" customHeight="1">
      <c r="A29" s="101" t="e">
        <f>CONCATENATE(#REF!,#REF!,#REF!,#REF!,#REF!,#REF!,#REF!)</f>
        <v>#REF!</v>
      </c>
    </row>
  </sheetData>
  <mergeCells count="3">
    <mergeCell ref="A2:J2"/>
    <mergeCell ref="A3:J3"/>
    <mergeCell ref="A27:B27"/>
  </mergeCells>
  <phoneticPr fontId="6" type="noConversion"/>
  <hyperlinks>
    <hyperlink ref="A1" location="索引目录!D45" display="固定资产清理"/>
    <hyperlink ref="B1" location="固定资产汇总!B24" display="固定资产清理"/>
  </hyperlinks>
  <printOptions horizontalCentered="1"/>
  <pageMargins left="0.35433070866141736" right="0.35433070866141736" top="0.78740157480314965" bottom="0.78740157480314965" header="1.03" footer="0.51181102362204722"/>
  <pageSetup paperSize="9" scale="71" fitToHeight="0" orientation="landscape" horizontalDpi="4294967292" r:id="rId1"/>
  <headerFooter alignWithMargins="0">
    <oddHeader>&amp;R&amp;"宋体,常规"&amp;10表&amp;"Times New Roman,常规"4-9
&amp;"宋体,常规"共&amp;"Times New Roman,常规"&amp;N&amp;"宋体,常规"页第&amp;"Times New Roman,常规"&amp;P&amp;"宋体,常规"页</oddHeader>
  </headerFooter>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3" enableFormatConditionsCalculation="0">
    <tabColor indexed="13"/>
    <pageSetUpPr fitToPage="1"/>
  </sheetPr>
  <dimension ref="A1:R29"/>
  <sheetViews>
    <sheetView workbookViewId="0">
      <selection activeCell="H10" sqref="H10"/>
    </sheetView>
  </sheetViews>
  <sheetFormatPr defaultRowHeight="15.75" customHeight="1" outlineLevelCol="1"/>
  <cols>
    <col min="1" max="1" width="5.125" style="4" customWidth="1"/>
    <col min="2" max="2" width="23.25" style="4" customWidth="1"/>
    <col min="3" max="3" width="14.75" style="4" customWidth="1"/>
    <col min="4" max="4" width="11.5" style="4" customWidth="1" outlineLevel="1"/>
    <col min="5" max="6" width="4.375" style="4" customWidth="1"/>
    <col min="7" max="7" width="8.75" style="4" customWidth="1"/>
    <col min="8" max="10" width="11" style="4" customWidth="1" outlineLevel="1"/>
    <col min="11" max="11" width="6.125" style="4" customWidth="1" outlineLevel="1"/>
    <col min="12" max="14" width="11" style="4" customWidth="1"/>
    <col min="15" max="15" width="7" style="4" customWidth="1"/>
    <col min="16" max="16" width="11" style="4" customWidth="1"/>
    <col min="17" max="17" width="5.125" style="4" customWidth="1"/>
    <col min="18" max="18" width="5.5" style="4" customWidth="1"/>
    <col min="19" max="16384" width="9" style="4"/>
  </cols>
  <sheetData>
    <row r="1" spans="1:18" ht="14.25">
      <c r="A1" s="272" t="s">
        <v>130</v>
      </c>
      <c r="B1" s="196" t="s">
        <v>131</v>
      </c>
      <c r="C1" s="1"/>
      <c r="D1" s="1"/>
      <c r="E1" s="1"/>
      <c r="F1" s="1"/>
      <c r="G1" s="1"/>
      <c r="H1" s="1"/>
      <c r="I1" s="1"/>
      <c r="J1" s="1"/>
      <c r="K1" s="1"/>
      <c r="L1" s="1"/>
      <c r="M1" s="1"/>
      <c r="N1" s="1"/>
      <c r="O1" s="1"/>
      <c r="P1" s="1"/>
      <c r="Q1" s="1"/>
      <c r="R1" s="1"/>
    </row>
    <row r="2" spans="1:18" s="114" customFormat="1" ht="30" customHeight="1">
      <c r="A2" s="790" t="s">
        <v>873</v>
      </c>
      <c r="B2" s="791"/>
      <c r="C2" s="791"/>
      <c r="D2" s="791"/>
      <c r="E2" s="791"/>
      <c r="F2" s="791"/>
      <c r="G2" s="791"/>
      <c r="H2" s="791"/>
      <c r="I2" s="791"/>
      <c r="J2" s="791"/>
      <c r="K2" s="791"/>
      <c r="L2" s="791"/>
      <c r="M2" s="791"/>
      <c r="N2" s="791"/>
      <c r="O2" s="791"/>
      <c r="P2" s="791"/>
      <c r="Q2" s="791"/>
      <c r="R2" s="791"/>
    </row>
    <row r="3" spans="1:18" ht="14.1" customHeight="1">
      <c r="A3" s="792" t="e">
        <f>CONCATENATE(#REF!,#REF!,#REF!,#REF!,#REF!,#REF!,#REF!)</f>
        <v>#REF!</v>
      </c>
      <c r="B3" s="792"/>
      <c r="C3" s="792"/>
      <c r="D3" s="792"/>
      <c r="E3" s="792"/>
      <c r="F3" s="792"/>
      <c r="G3" s="808"/>
      <c r="H3" s="808"/>
      <c r="I3" s="808"/>
      <c r="J3" s="808"/>
      <c r="K3" s="808"/>
      <c r="L3" s="808"/>
      <c r="M3" s="808"/>
      <c r="N3" s="808"/>
      <c r="O3" s="808"/>
      <c r="P3" s="808"/>
      <c r="Q3" s="808"/>
      <c r="R3" s="808"/>
    </row>
    <row r="4" spans="1:18" ht="15.75" customHeight="1">
      <c r="A4" s="115" t="e">
        <f>#REF!&amp;#REF!</f>
        <v>#REF!</v>
      </c>
      <c r="R4" s="106" t="s">
        <v>572</v>
      </c>
    </row>
    <row r="5" spans="1:18" s="1" customFormat="1" ht="15.75" customHeight="1">
      <c r="A5" s="815" t="s">
        <v>573</v>
      </c>
      <c r="B5" s="815" t="s">
        <v>584</v>
      </c>
      <c r="C5" s="837" t="s">
        <v>585</v>
      </c>
      <c r="D5" s="895" t="s">
        <v>574</v>
      </c>
      <c r="E5" s="837" t="s">
        <v>575</v>
      </c>
      <c r="F5" s="837" t="s">
        <v>576</v>
      </c>
      <c r="G5" s="837" t="s">
        <v>577</v>
      </c>
      <c r="H5" s="986" t="s">
        <v>426</v>
      </c>
      <c r="I5" s="987"/>
      <c r="J5" s="916" t="s">
        <v>713</v>
      </c>
      <c r="K5" s="917"/>
      <c r="L5" s="837" t="s">
        <v>315</v>
      </c>
      <c r="M5" s="838"/>
      <c r="N5" s="837" t="s">
        <v>578</v>
      </c>
      <c r="O5" s="838"/>
      <c r="P5" s="838"/>
      <c r="Q5" s="837" t="s">
        <v>579</v>
      </c>
      <c r="R5" s="837" t="s">
        <v>580</v>
      </c>
    </row>
    <row r="6" spans="1:18" s="116" customFormat="1" ht="15.75" customHeight="1">
      <c r="A6" s="816"/>
      <c r="B6" s="816"/>
      <c r="C6" s="816"/>
      <c r="D6" s="896"/>
      <c r="E6" s="816"/>
      <c r="F6" s="816"/>
      <c r="G6" s="816"/>
      <c r="H6" s="102" t="s">
        <v>581</v>
      </c>
      <c r="I6" s="102" t="s">
        <v>582</v>
      </c>
      <c r="J6" s="102" t="s">
        <v>581</v>
      </c>
      <c r="K6" s="102" t="s">
        <v>582</v>
      </c>
      <c r="L6" s="102" t="s">
        <v>581</v>
      </c>
      <c r="M6" s="102" t="s">
        <v>582</v>
      </c>
      <c r="N6" s="102" t="s">
        <v>581</v>
      </c>
      <c r="O6" s="102" t="s">
        <v>583</v>
      </c>
      <c r="P6" s="102" t="s">
        <v>582</v>
      </c>
      <c r="Q6" s="816"/>
      <c r="R6" s="816"/>
    </row>
    <row r="7" spans="1:18" ht="15.75" customHeight="1">
      <c r="A7" s="105"/>
      <c r="B7" s="128"/>
      <c r="C7" s="128"/>
      <c r="D7" s="164"/>
      <c r="E7" s="105"/>
      <c r="F7" s="105"/>
      <c r="G7" s="121"/>
      <c r="H7" s="142"/>
      <c r="I7" s="142"/>
      <c r="J7" s="142"/>
      <c r="K7" s="142"/>
      <c r="L7" s="142"/>
      <c r="M7" s="142"/>
      <c r="N7" s="142"/>
      <c r="O7" s="153"/>
      <c r="P7" s="142">
        <f t="shared" ref="P7:P24" si="0">ROUND(N7*O7/100,0)</f>
        <v>0</v>
      </c>
      <c r="Q7" s="142" t="str">
        <f>IF(M7=0,"",(P7-M7)/M7*100)</f>
        <v/>
      </c>
      <c r="R7" s="120"/>
    </row>
    <row r="8" spans="1:18" ht="15.75" customHeight="1">
      <c r="A8" s="105"/>
      <c r="B8" s="128"/>
      <c r="C8" s="128"/>
      <c r="D8" s="164"/>
      <c r="E8" s="105"/>
      <c r="F8" s="105"/>
      <c r="G8" s="121"/>
      <c r="H8" s="142"/>
      <c r="I8" s="142"/>
      <c r="J8" s="142"/>
      <c r="K8" s="142"/>
      <c r="L8" s="142"/>
      <c r="M8" s="142"/>
      <c r="N8" s="142"/>
      <c r="O8" s="153"/>
      <c r="P8" s="142">
        <f t="shared" si="0"/>
        <v>0</v>
      </c>
      <c r="Q8" s="142" t="str">
        <f>IF(M8=0,"",(P8-M8)/M8*100)</f>
        <v/>
      </c>
      <c r="R8" s="120"/>
    </row>
    <row r="9" spans="1:18" ht="15.75" customHeight="1">
      <c r="A9" s="105"/>
      <c r="B9" s="128"/>
      <c r="C9" s="128"/>
      <c r="D9" s="164"/>
      <c r="E9" s="105"/>
      <c r="F9" s="105"/>
      <c r="G9" s="121"/>
      <c r="H9" s="142"/>
      <c r="I9" s="142"/>
      <c r="J9" s="142"/>
      <c r="K9" s="142"/>
      <c r="L9" s="142"/>
      <c r="M9" s="142"/>
      <c r="N9" s="142"/>
      <c r="O9" s="153"/>
      <c r="P9" s="142">
        <f t="shared" si="0"/>
        <v>0</v>
      </c>
      <c r="Q9" s="142" t="str">
        <f t="shared" ref="Q9:Q27" si="1">IF(M9=0,"",(P9-M9)/M9*100)</f>
        <v/>
      </c>
      <c r="R9" s="120"/>
    </row>
    <row r="10" spans="1:18" ht="15.75" customHeight="1">
      <c r="A10" s="105"/>
      <c r="B10" s="128"/>
      <c r="C10" s="128"/>
      <c r="D10" s="164"/>
      <c r="E10" s="105"/>
      <c r="F10" s="105"/>
      <c r="G10" s="121"/>
      <c r="H10" s="142"/>
      <c r="I10" s="142"/>
      <c r="J10" s="142"/>
      <c r="K10" s="142"/>
      <c r="L10" s="142"/>
      <c r="M10" s="142"/>
      <c r="N10" s="142"/>
      <c r="O10" s="153"/>
      <c r="P10" s="142">
        <f t="shared" si="0"/>
        <v>0</v>
      </c>
      <c r="Q10" s="142" t="str">
        <f t="shared" si="1"/>
        <v/>
      </c>
      <c r="R10" s="120"/>
    </row>
    <row r="11" spans="1:18" ht="15.75" customHeight="1">
      <c r="A11" s="105"/>
      <c r="B11" s="128"/>
      <c r="C11" s="128"/>
      <c r="D11" s="164"/>
      <c r="E11" s="105"/>
      <c r="F11" s="105"/>
      <c r="G11" s="121"/>
      <c r="H11" s="142"/>
      <c r="I11" s="142"/>
      <c r="J11" s="142"/>
      <c r="K11" s="142"/>
      <c r="L11" s="142"/>
      <c r="M11" s="142"/>
      <c r="N11" s="142"/>
      <c r="O11" s="153"/>
      <c r="P11" s="142">
        <f t="shared" si="0"/>
        <v>0</v>
      </c>
      <c r="Q11" s="142" t="str">
        <f t="shared" si="1"/>
        <v/>
      </c>
      <c r="R11" s="120"/>
    </row>
    <row r="12" spans="1:18" ht="15.75" customHeight="1">
      <c r="A12" s="105"/>
      <c r="B12" s="128"/>
      <c r="C12" s="128"/>
      <c r="D12" s="164"/>
      <c r="E12" s="105"/>
      <c r="F12" s="105"/>
      <c r="G12" s="121"/>
      <c r="H12" s="142"/>
      <c r="I12" s="142"/>
      <c r="J12" s="142"/>
      <c r="K12" s="142"/>
      <c r="L12" s="142"/>
      <c r="M12" s="142"/>
      <c r="N12" s="142"/>
      <c r="O12" s="153"/>
      <c r="P12" s="142">
        <f t="shared" si="0"/>
        <v>0</v>
      </c>
      <c r="Q12" s="142" t="str">
        <f t="shared" si="1"/>
        <v/>
      </c>
      <c r="R12" s="120"/>
    </row>
    <row r="13" spans="1:18" ht="15.75" customHeight="1">
      <c r="A13" s="105"/>
      <c r="B13" s="128"/>
      <c r="C13" s="128"/>
      <c r="D13" s="164"/>
      <c r="E13" s="105"/>
      <c r="F13" s="105"/>
      <c r="G13" s="121"/>
      <c r="H13" s="142"/>
      <c r="I13" s="142"/>
      <c r="J13" s="142"/>
      <c r="K13" s="142"/>
      <c r="L13" s="142"/>
      <c r="M13" s="142"/>
      <c r="N13" s="142"/>
      <c r="O13" s="153"/>
      <c r="P13" s="142">
        <f t="shared" si="0"/>
        <v>0</v>
      </c>
      <c r="Q13" s="142" t="str">
        <f t="shared" si="1"/>
        <v/>
      </c>
      <c r="R13" s="120"/>
    </row>
    <row r="14" spans="1:18" ht="15.75" customHeight="1">
      <c r="A14" s="105"/>
      <c r="B14" s="128"/>
      <c r="C14" s="128"/>
      <c r="D14" s="164"/>
      <c r="E14" s="105"/>
      <c r="F14" s="105"/>
      <c r="G14" s="121"/>
      <c r="H14" s="142"/>
      <c r="I14" s="142"/>
      <c r="J14" s="142"/>
      <c r="K14" s="142"/>
      <c r="L14" s="142"/>
      <c r="M14" s="142"/>
      <c r="N14" s="142"/>
      <c r="O14" s="153"/>
      <c r="P14" s="142">
        <f t="shared" si="0"/>
        <v>0</v>
      </c>
      <c r="Q14" s="142" t="str">
        <f t="shared" si="1"/>
        <v/>
      </c>
      <c r="R14" s="120"/>
    </row>
    <row r="15" spans="1:18" ht="15.75" customHeight="1">
      <c r="A15" s="105"/>
      <c r="B15" s="128"/>
      <c r="C15" s="128"/>
      <c r="D15" s="164"/>
      <c r="E15" s="105"/>
      <c r="F15" s="105"/>
      <c r="G15" s="121"/>
      <c r="H15" s="142"/>
      <c r="I15" s="142"/>
      <c r="J15" s="142"/>
      <c r="K15" s="142"/>
      <c r="L15" s="142"/>
      <c r="M15" s="142"/>
      <c r="N15" s="142"/>
      <c r="O15" s="153"/>
      <c r="P15" s="142">
        <f t="shared" si="0"/>
        <v>0</v>
      </c>
      <c r="Q15" s="142" t="str">
        <f t="shared" si="1"/>
        <v/>
      </c>
      <c r="R15" s="120"/>
    </row>
    <row r="16" spans="1:18" ht="15.75" customHeight="1">
      <c r="A16" s="105"/>
      <c r="B16" s="128"/>
      <c r="C16" s="128"/>
      <c r="D16" s="164"/>
      <c r="E16" s="105"/>
      <c r="F16" s="105"/>
      <c r="G16" s="121"/>
      <c r="H16" s="142"/>
      <c r="I16" s="142"/>
      <c r="J16" s="142"/>
      <c r="K16" s="142"/>
      <c r="L16" s="142"/>
      <c r="M16" s="142"/>
      <c r="N16" s="142"/>
      <c r="O16" s="153"/>
      <c r="P16" s="142">
        <f t="shared" si="0"/>
        <v>0</v>
      </c>
      <c r="Q16" s="142" t="str">
        <f t="shared" si="1"/>
        <v/>
      </c>
      <c r="R16" s="120"/>
    </row>
    <row r="17" spans="1:18" ht="15.75" customHeight="1">
      <c r="A17" s="105"/>
      <c r="B17" s="128"/>
      <c r="C17" s="128"/>
      <c r="D17" s="164"/>
      <c r="E17" s="105"/>
      <c r="F17" s="105"/>
      <c r="G17" s="121"/>
      <c r="H17" s="142"/>
      <c r="I17" s="142"/>
      <c r="J17" s="142"/>
      <c r="K17" s="142"/>
      <c r="L17" s="142"/>
      <c r="M17" s="142"/>
      <c r="N17" s="142"/>
      <c r="O17" s="153"/>
      <c r="P17" s="142">
        <f t="shared" si="0"/>
        <v>0</v>
      </c>
      <c r="Q17" s="142" t="str">
        <f t="shared" si="1"/>
        <v/>
      </c>
      <c r="R17" s="120"/>
    </row>
    <row r="18" spans="1:18" ht="15.75" customHeight="1">
      <c r="A18" s="105"/>
      <c r="B18" s="128"/>
      <c r="C18" s="128"/>
      <c r="D18" s="164"/>
      <c r="E18" s="105"/>
      <c r="F18" s="105"/>
      <c r="G18" s="121"/>
      <c r="H18" s="142"/>
      <c r="I18" s="142"/>
      <c r="J18" s="142"/>
      <c r="K18" s="142"/>
      <c r="L18" s="142"/>
      <c r="M18" s="142"/>
      <c r="N18" s="142"/>
      <c r="O18" s="153"/>
      <c r="P18" s="142">
        <f t="shared" si="0"/>
        <v>0</v>
      </c>
      <c r="Q18" s="142" t="str">
        <f t="shared" si="1"/>
        <v/>
      </c>
      <c r="R18" s="120"/>
    </row>
    <row r="19" spans="1:18" ht="15.75" customHeight="1">
      <c r="A19" s="105"/>
      <c r="B19" s="128"/>
      <c r="C19" s="128"/>
      <c r="D19" s="164"/>
      <c r="E19" s="105"/>
      <c r="F19" s="105"/>
      <c r="G19" s="121"/>
      <c r="H19" s="142"/>
      <c r="I19" s="142"/>
      <c r="J19" s="142"/>
      <c r="K19" s="142"/>
      <c r="L19" s="142"/>
      <c r="M19" s="142"/>
      <c r="N19" s="142"/>
      <c r="O19" s="153"/>
      <c r="P19" s="142">
        <f t="shared" si="0"/>
        <v>0</v>
      </c>
      <c r="Q19" s="142" t="str">
        <f t="shared" si="1"/>
        <v/>
      </c>
      <c r="R19" s="120"/>
    </row>
    <row r="20" spans="1:18" ht="15.75" customHeight="1">
      <c r="A20" s="105"/>
      <c r="B20" s="128"/>
      <c r="C20" s="128"/>
      <c r="D20" s="164"/>
      <c r="E20" s="105"/>
      <c r="F20" s="105"/>
      <c r="G20" s="121"/>
      <c r="H20" s="142"/>
      <c r="I20" s="142"/>
      <c r="J20" s="142"/>
      <c r="K20" s="142"/>
      <c r="L20" s="142"/>
      <c r="M20" s="142"/>
      <c r="N20" s="142"/>
      <c r="O20" s="153"/>
      <c r="P20" s="142">
        <f t="shared" si="0"/>
        <v>0</v>
      </c>
      <c r="Q20" s="142" t="str">
        <f t="shared" si="1"/>
        <v/>
      </c>
      <c r="R20" s="120"/>
    </row>
    <row r="21" spans="1:18" ht="15.75" customHeight="1">
      <c r="A21" s="105"/>
      <c r="B21" s="128"/>
      <c r="C21" s="128"/>
      <c r="D21" s="164"/>
      <c r="E21" s="105"/>
      <c r="F21" s="105"/>
      <c r="G21" s="121"/>
      <c r="H21" s="142"/>
      <c r="I21" s="142"/>
      <c r="J21" s="142"/>
      <c r="K21" s="142"/>
      <c r="L21" s="142"/>
      <c r="M21" s="142"/>
      <c r="N21" s="142"/>
      <c r="O21" s="153"/>
      <c r="P21" s="142">
        <f t="shared" si="0"/>
        <v>0</v>
      </c>
      <c r="Q21" s="142" t="str">
        <f t="shared" si="1"/>
        <v/>
      </c>
      <c r="R21" s="120"/>
    </row>
    <row r="22" spans="1:18" ht="15.75" customHeight="1">
      <c r="A22" s="105"/>
      <c r="B22" s="128"/>
      <c r="C22" s="128"/>
      <c r="D22" s="164"/>
      <c r="E22" s="105"/>
      <c r="F22" s="105"/>
      <c r="G22" s="121"/>
      <c r="H22" s="142"/>
      <c r="I22" s="142"/>
      <c r="J22" s="142"/>
      <c r="K22" s="142"/>
      <c r="L22" s="142"/>
      <c r="M22" s="142"/>
      <c r="N22" s="142"/>
      <c r="O22" s="153"/>
      <c r="P22" s="142">
        <f t="shared" si="0"/>
        <v>0</v>
      </c>
      <c r="Q22" s="142" t="str">
        <f t="shared" si="1"/>
        <v/>
      </c>
      <c r="R22" s="120"/>
    </row>
    <row r="23" spans="1:18" ht="15.75" customHeight="1">
      <c r="A23" s="105"/>
      <c r="B23" s="128"/>
      <c r="C23" s="128"/>
      <c r="D23" s="164"/>
      <c r="E23" s="105"/>
      <c r="F23" s="105"/>
      <c r="G23" s="121"/>
      <c r="H23" s="142"/>
      <c r="I23" s="142"/>
      <c r="J23" s="142"/>
      <c r="K23" s="142"/>
      <c r="L23" s="142"/>
      <c r="M23" s="142"/>
      <c r="N23" s="142"/>
      <c r="O23" s="153"/>
      <c r="P23" s="142">
        <f t="shared" si="0"/>
        <v>0</v>
      </c>
      <c r="Q23" s="142" t="str">
        <f t="shared" si="1"/>
        <v/>
      </c>
      <c r="R23" s="120"/>
    </row>
    <row r="24" spans="1:18" ht="15.75" customHeight="1">
      <c r="A24" s="105"/>
      <c r="B24" s="128"/>
      <c r="C24" s="128"/>
      <c r="D24" s="164"/>
      <c r="E24" s="105"/>
      <c r="F24" s="105"/>
      <c r="G24" s="121"/>
      <c r="H24" s="142"/>
      <c r="I24" s="142"/>
      <c r="J24" s="142"/>
      <c r="K24" s="142"/>
      <c r="L24" s="142"/>
      <c r="M24" s="142"/>
      <c r="N24" s="142"/>
      <c r="O24" s="153"/>
      <c r="P24" s="142">
        <f t="shared" si="0"/>
        <v>0</v>
      </c>
      <c r="Q24" s="142" t="str">
        <f t="shared" si="1"/>
        <v/>
      </c>
      <c r="R24" s="120"/>
    </row>
    <row r="25" spans="1:18" ht="15.75" customHeight="1">
      <c r="A25" s="815" t="s">
        <v>54</v>
      </c>
      <c r="B25" s="815"/>
      <c r="C25" s="815"/>
      <c r="D25" s="164"/>
      <c r="E25" s="105"/>
      <c r="F25" s="105"/>
      <c r="G25" s="121"/>
      <c r="H25" s="142">
        <f t="shared" ref="H25:P25" si="2">SUM(H7:H24)</f>
        <v>0</v>
      </c>
      <c r="I25" s="142">
        <f t="shared" si="2"/>
        <v>0</v>
      </c>
      <c r="J25" s="142"/>
      <c r="K25" s="142"/>
      <c r="L25" s="142">
        <f t="shared" si="2"/>
        <v>0</v>
      </c>
      <c r="M25" s="142">
        <f t="shared" si="2"/>
        <v>0</v>
      </c>
      <c r="N25" s="142">
        <f t="shared" si="2"/>
        <v>0</v>
      </c>
      <c r="O25" s="153"/>
      <c r="P25" s="142">
        <f t="shared" si="2"/>
        <v>0</v>
      </c>
      <c r="Q25" s="142" t="str">
        <f t="shared" si="1"/>
        <v/>
      </c>
      <c r="R25" s="120"/>
    </row>
    <row r="26" spans="1:18" ht="15.75" customHeight="1">
      <c r="A26" s="815" t="s">
        <v>586</v>
      </c>
      <c r="B26" s="815"/>
      <c r="C26" s="815"/>
      <c r="D26" s="164"/>
      <c r="E26" s="105"/>
      <c r="F26" s="105"/>
      <c r="G26" s="121"/>
      <c r="H26" s="142"/>
      <c r="I26" s="142"/>
      <c r="J26" s="142"/>
      <c r="K26" s="142"/>
      <c r="L26" s="142"/>
      <c r="M26" s="142">
        <f>I26</f>
        <v>0</v>
      </c>
      <c r="N26" s="142"/>
      <c r="O26" s="153"/>
      <c r="P26" s="142">
        <v>0</v>
      </c>
      <c r="Q26" s="142" t="str">
        <f t="shared" si="1"/>
        <v/>
      </c>
      <c r="R26" s="120"/>
    </row>
    <row r="27" spans="1:18" ht="15.75" customHeight="1">
      <c r="A27" s="815" t="s">
        <v>418</v>
      </c>
      <c r="B27" s="815"/>
      <c r="C27" s="815"/>
      <c r="D27" s="15"/>
      <c r="E27" s="105"/>
      <c r="F27" s="105"/>
      <c r="G27" s="121"/>
      <c r="H27" s="142">
        <f t="shared" ref="H27:P27" si="3">H25-H26</f>
        <v>0</v>
      </c>
      <c r="I27" s="142">
        <f t="shared" si="3"/>
        <v>0</v>
      </c>
      <c r="J27" s="142"/>
      <c r="K27" s="142"/>
      <c r="L27" s="142">
        <f t="shared" si="3"/>
        <v>0</v>
      </c>
      <c r="M27" s="142">
        <f t="shared" si="3"/>
        <v>0</v>
      </c>
      <c r="N27" s="142">
        <f t="shared" si="3"/>
        <v>0</v>
      </c>
      <c r="O27" s="153"/>
      <c r="P27" s="142">
        <f t="shared" si="3"/>
        <v>0</v>
      </c>
      <c r="Q27" s="142" t="str">
        <f t="shared" si="1"/>
        <v/>
      </c>
      <c r="R27" s="120"/>
    </row>
    <row r="28" spans="1:18" ht="15.75" customHeight="1">
      <c r="A28" s="101" t="e">
        <f>#REF!&amp;#REF!</f>
        <v>#REF!</v>
      </c>
      <c r="L28" s="129" t="e">
        <f>"评估人员："&amp;#REF!</f>
        <v>#REF!</v>
      </c>
    </row>
    <row r="29" spans="1:18" ht="15.75" customHeight="1">
      <c r="A29" s="101" t="e">
        <f>CONCATENATE(#REF!,#REF!,#REF!,#REF!,#REF!,#REF!,#REF!)</f>
        <v>#REF!</v>
      </c>
    </row>
  </sheetData>
  <mergeCells count="18">
    <mergeCell ref="A27:C27"/>
    <mergeCell ref="G5:G6"/>
    <mergeCell ref="D5:D6"/>
    <mergeCell ref="F5:F6"/>
    <mergeCell ref="A26:C26"/>
    <mergeCell ref="A25:C25"/>
    <mergeCell ref="A5:A6"/>
    <mergeCell ref="B5:B6"/>
    <mergeCell ref="C5:C6"/>
    <mergeCell ref="A2:R2"/>
    <mergeCell ref="L5:M5"/>
    <mergeCell ref="N5:P5"/>
    <mergeCell ref="Q5:Q6"/>
    <mergeCell ref="E5:E6"/>
    <mergeCell ref="J5:K5"/>
    <mergeCell ref="H5:I5"/>
    <mergeCell ref="A3:R3"/>
    <mergeCell ref="R5:R6"/>
  </mergeCells>
  <phoneticPr fontId="6" type="noConversion"/>
  <hyperlinks>
    <hyperlink ref="A1" location="索引目录!D46" display="生产性生物资产"/>
    <hyperlink ref="B1" location="固定资产汇总!B26" display="生产性生物资产"/>
  </hyperlinks>
  <printOptions horizontalCentered="1"/>
  <pageMargins left="0.35433070866141736" right="0.35433070866141736" top="0.78740157480314965" bottom="0.78740157480314965" header="1.0236220472440944" footer="0.51181102362204722"/>
  <pageSetup paperSize="9" scale="76" fitToHeight="0" orientation="landscape" horizontalDpi="4294967292" r:id="rId1"/>
  <headerFooter alignWithMargins="0">
    <oddHeader>&amp;R&amp;"宋体,常规"&amp;10表&amp;"Times New Roman,常规"4-10
&amp;"宋体,常规"共&amp;"Times New Roman,常规"&amp;N&amp;"宋体,常规"页第&amp;"Times New Roman,常规"&amp;P&amp;"宋体,常规"页</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94"/>
  <sheetViews>
    <sheetView workbookViewId="0">
      <selection activeCell="H10" sqref="H10"/>
    </sheetView>
  </sheetViews>
  <sheetFormatPr defaultRowHeight="15"/>
  <cols>
    <col min="1" max="1" width="48.875" style="351" bestFit="1" customWidth="1"/>
    <col min="2" max="2" width="14" style="333" customWidth="1"/>
    <col min="3" max="3" width="14.25" style="352" customWidth="1"/>
    <col min="4" max="16384" width="9" style="333"/>
  </cols>
  <sheetData>
    <row r="1" spans="1:3" ht="25.5">
      <c r="A1" s="788" t="s">
        <v>811</v>
      </c>
      <c r="B1" s="788"/>
      <c r="C1" s="788"/>
    </row>
    <row r="2" spans="1:3" s="334" customFormat="1" ht="15" customHeight="1">
      <c r="A2" s="789" t="e">
        <f>资产负债表!A3</f>
        <v>#REF!</v>
      </c>
      <c r="B2" s="789"/>
      <c r="C2" s="789"/>
    </row>
    <row r="3" spans="1:3" s="334" customFormat="1" ht="15" customHeight="1">
      <c r="A3" s="335" t="e">
        <f>资产负债表!A4</f>
        <v>#REF!</v>
      </c>
      <c r="C3" s="336" t="s">
        <v>934</v>
      </c>
    </row>
    <row r="4" spans="1:3" s="338" customFormat="1" ht="18" customHeight="1">
      <c r="A4" s="337" t="s">
        <v>810</v>
      </c>
      <c r="B4" s="353" t="s">
        <v>840</v>
      </c>
      <c r="C4" s="354" t="s">
        <v>841</v>
      </c>
    </row>
    <row r="5" spans="1:3" s="338" customFormat="1" ht="18" customHeight="1">
      <c r="A5" s="339" t="s">
        <v>812</v>
      </c>
      <c r="B5" s="340"/>
      <c r="C5" s="341"/>
    </row>
    <row r="6" spans="1:3" s="338" customFormat="1" ht="18" customHeight="1">
      <c r="A6" s="342" t="s">
        <v>813</v>
      </c>
      <c r="B6" s="340"/>
      <c r="C6" s="341"/>
    </row>
    <row r="7" spans="1:3" s="338" customFormat="1" ht="18" customHeight="1">
      <c r="A7" s="342" t="s">
        <v>814</v>
      </c>
      <c r="B7" s="340"/>
      <c r="C7" s="341"/>
    </row>
    <row r="8" spans="1:3" s="338" customFormat="1" ht="18" customHeight="1">
      <c r="A8" s="342" t="s">
        <v>815</v>
      </c>
      <c r="B8" s="340"/>
      <c r="C8" s="341"/>
    </row>
    <row r="9" spans="1:3" s="338" customFormat="1" ht="18" customHeight="1">
      <c r="A9" s="342" t="s">
        <v>816</v>
      </c>
      <c r="B9" s="340"/>
      <c r="C9" s="341"/>
    </row>
    <row r="10" spans="1:3" s="338" customFormat="1" ht="18" customHeight="1">
      <c r="A10" s="342" t="s">
        <v>817</v>
      </c>
      <c r="B10" s="340"/>
      <c r="C10" s="341"/>
    </row>
    <row r="11" spans="1:3" s="338" customFormat="1" ht="18" customHeight="1">
      <c r="A11" s="342" t="s">
        <v>818</v>
      </c>
      <c r="B11" s="340"/>
      <c r="C11" s="341"/>
    </row>
    <row r="12" spans="1:3" s="338" customFormat="1" ht="18" customHeight="1">
      <c r="A12" s="342" t="s">
        <v>819</v>
      </c>
      <c r="B12" s="340"/>
      <c r="C12" s="341"/>
    </row>
    <row r="13" spans="1:3" s="338" customFormat="1" ht="18" customHeight="1">
      <c r="A13" s="342" t="s">
        <v>820</v>
      </c>
      <c r="B13" s="340"/>
      <c r="C13" s="341"/>
    </row>
    <row r="14" spans="1:3" s="338" customFormat="1" ht="18" customHeight="1">
      <c r="A14" s="342" t="s">
        <v>821</v>
      </c>
      <c r="B14" s="340"/>
      <c r="C14" s="341"/>
    </row>
    <row r="15" spans="1:3" s="338" customFormat="1" ht="18" customHeight="1">
      <c r="A15" s="339" t="s">
        <v>822</v>
      </c>
      <c r="B15" s="340">
        <f>B5-B6-B7-B8-B9-B10-B11+B12+B13</f>
        <v>0</v>
      </c>
      <c r="C15" s="341">
        <f>C5-C6-C7-C8-C9-C10-C11+C12+C13</f>
        <v>0</v>
      </c>
    </row>
    <row r="16" spans="1:3" s="338" customFormat="1" ht="18" customHeight="1">
      <c r="A16" s="342" t="s">
        <v>823</v>
      </c>
      <c r="B16" s="340"/>
      <c r="C16" s="341"/>
    </row>
    <row r="17" spans="1:3" s="338" customFormat="1" ht="18" customHeight="1">
      <c r="A17" s="342" t="s">
        <v>824</v>
      </c>
      <c r="B17" s="340"/>
      <c r="C17" s="341"/>
    </row>
    <row r="18" spans="1:3" s="338" customFormat="1" ht="18" customHeight="1">
      <c r="A18" s="342" t="s">
        <v>825</v>
      </c>
      <c r="B18" s="340"/>
      <c r="C18" s="341"/>
    </row>
    <row r="19" spans="1:3" s="338" customFormat="1" ht="18" customHeight="1">
      <c r="A19" s="339" t="s">
        <v>826</v>
      </c>
      <c r="B19" s="340">
        <f>B15+B16-B17</f>
        <v>0</v>
      </c>
      <c r="C19" s="341">
        <f>C15+C16-C17</f>
        <v>0</v>
      </c>
    </row>
    <row r="20" spans="1:3" s="338" customFormat="1" ht="18" customHeight="1">
      <c r="A20" s="342" t="s">
        <v>827</v>
      </c>
      <c r="B20" s="340"/>
      <c r="C20" s="341"/>
    </row>
    <row r="21" spans="1:3" s="338" customFormat="1" ht="18" customHeight="1">
      <c r="A21" s="343" t="s">
        <v>828</v>
      </c>
      <c r="B21" s="344">
        <f>B19-B20</f>
        <v>0</v>
      </c>
      <c r="C21" s="345">
        <f>C19-C20</f>
        <v>0</v>
      </c>
    </row>
    <row r="22" spans="1:3" s="338" customFormat="1" ht="18" customHeight="1">
      <c r="A22" s="342" t="s">
        <v>829</v>
      </c>
      <c r="B22" s="340"/>
      <c r="C22" s="341"/>
    </row>
    <row r="23" spans="1:3" s="338" customFormat="1" ht="18" customHeight="1">
      <c r="A23" s="342" t="s">
        <v>830</v>
      </c>
      <c r="B23" s="340"/>
      <c r="C23" s="341"/>
    </row>
    <row r="24" spans="1:3" s="338" customFormat="1" ht="18" customHeight="1">
      <c r="A24" s="342" t="s">
        <v>831</v>
      </c>
      <c r="B24" s="340"/>
      <c r="C24" s="341"/>
    </row>
    <row r="25" spans="1:3" s="338" customFormat="1" ht="18" customHeight="1">
      <c r="A25" s="339" t="s">
        <v>832</v>
      </c>
      <c r="B25" s="340"/>
      <c r="C25" s="341"/>
    </row>
    <row r="26" spans="1:3" s="338" customFormat="1" ht="18" customHeight="1">
      <c r="A26" s="342" t="s">
        <v>833</v>
      </c>
      <c r="B26" s="340"/>
      <c r="C26" s="341"/>
    </row>
    <row r="27" spans="1:3" s="338" customFormat="1" ht="18" customHeight="1">
      <c r="A27" s="342" t="s">
        <v>834</v>
      </c>
      <c r="B27" s="340"/>
      <c r="C27" s="341"/>
    </row>
    <row r="28" spans="1:3" s="338" customFormat="1" ht="18" customHeight="1">
      <c r="A28" s="339" t="s">
        <v>835</v>
      </c>
      <c r="B28" s="340"/>
      <c r="C28" s="341"/>
    </row>
    <row r="29" spans="1:3" s="338" customFormat="1" ht="18" customHeight="1">
      <c r="A29" s="339" t="s">
        <v>836</v>
      </c>
      <c r="B29" s="340"/>
      <c r="C29" s="341"/>
    </row>
    <row r="30" spans="1:3" s="338" customFormat="1" ht="18" customHeight="1">
      <c r="A30" s="342" t="s">
        <v>837</v>
      </c>
      <c r="B30" s="340"/>
      <c r="C30" s="341"/>
    </row>
    <row r="31" spans="1:3" s="338" customFormat="1" ht="18" customHeight="1">
      <c r="A31" s="342" t="s">
        <v>838</v>
      </c>
      <c r="B31" s="340"/>
      <c r="C31" s="341"/>
    </row>
    <row r="32" spans="1:3" s="334" customFormat="1" ht="15" customHeight="1">
      <c r="A32" s="346"/>
      <c r="B32" s="347"/>
      <c r="C32" s="348"/>
    </row>
    <row r="33" spans="1:3" s="334" customFormat="1" ht="15" customHeight="1">
      <c r="A33" s="349" t="str">
        <f>资产负债表!C40</f>
        <v xml:space="preserve">填表人： </v>
      </c>
      <c r="B33" s="349" t="s">
        <v>839</v>
      </c>
      <c r="C33" s="348"/>
    </row>
    <row r="34" spans="1:3" s="334" customFormat="1" ht="15" customHeight="1">
      <c r="A34" s="350"/>
      <c r="C34" s="348"/>
    </row>
    <row r="35" spans="1:3" s="334" customFormat="1" ht="15" customHeight="1">
      <c r="A35" s="350"/>
      <c r="C35" s="348"/>
    </row>
    <row r="36" spans="1:3" s="334" customFormat="1" ht="15" customHeight="1">
      <c r="A36" s="350"/>
      <c r="C36" s="348"/>
    </row>
    <row r="37" spans="1:3" s="334" customFormat="1" ht="15" customHeight="1">
      <c r="A37" s="350"/>
      <c r="C37" s="348"/>
    </row>
    <row r="38" spans="1:3" s="334" customFormat="1" ht="15" customHeight="1">
      <c r="A38" s="350"/>
      <c r="C38" s="348"/>
    </row>
    <row r="39" spans="1:3" s="334" customFormat="1" ht="15" customHeight="1">
      <c r="A39" s="350"/>
      <c r="C39" s="348"/>
    </row>
    <row r="40" spans="1:3" s="334" customFormat="1" ht="15" customHeight="1">
      <c r="A40" s="350"/>
      <c r="C40" s="348"/>
    </row>
    <row r="41" spans="1:3" s="334" customFormat="1" ht="15" customHeight="1">
      <c r="A41" s="350"/>
      <c r="C41" s="348"/>
    </row>
    <row r="42" spans="1:3" s="334" customFormat="1" ht="15" customHeight="1">
      <c r="A42" s="350"/>
      <c r="C42" s="348"/>
    </row>
    <row r="43" spans="1:3" s="334" customFormat="1" ht="15" customHeight="1">
      <c r="A43" s="350"/>
      <c r="C43" s="348"/>
    </row>
    <row r="44" spans="1:3" s="334" customFormat="1" ht="15" customHeight="1">
      <c r="A44" s="350"/>
      <c r="C44" s="348"/>
    </row>
    <row r="45" spans="1:3" s="334" customFormat="1" ht="15" customHeight="1">
      <c r="A45" s="350"/>
      <c r="C45" s="348"/>
    </row>
    <row r="46" spans="1:3" s="334" customFormat="1" ht="15" customHeight="1">
      <c r="A46" s="350"/>
      <c r="C46" s="348"/>
    </row>
    <row r="47" spans="1:3" s="334" customFormat="1" ht="15" customHeight="1">
      <c r="A47" s="350"/>
      <c r="C47" s="348"/>
    </row>
    <row r="48" spans="1:3" s="334" customFormat="1" ht="15" customHeight="1">
      <c r="A48" s="350"/>
      <c r="C48" s="348"/>
    </row>
    <row r="49" spans="1:3" s="334" customFormat="1" ht="15" customHeight="1">
      <c r="A49" s="350"/>
      <c r="C49" s="348"/>
    </row>
    <row r="50" spans="1:3" s="334" customFormat="1" ht="15" customHeight="1">
      <c r="A50" s="350"/>
      <c r="C50" s="348"/>
    </row>
    <row r="51" spans="1:3" s="334" customFormat="1" ht="15" customHeight="1">
      <c r="A51" s="350"/>
      <c r="C51" s="348"/>
    </row>
    <row r="52" spans="1:3" s="334" customFormat="1" ht="15" customHeight="1">
      <c r="A52" s="350"/>
      <c r="C52" s="348"/>
    </row>
    <row r="53" spans="1:3" s="334" customFormat="1" ht="15" customHeight="1">
      <c r="A53" s="350"/>
      <c r="C53" s="348"/>
    </row>
    <row r="54" spans="1:3" s="334" customFormat="1" ht="15" customHeight="1">
      <c r="A54" s="350"/>
      <c r="C54" s="348"/>
    </row>
    <row r="55" spans="1:3" s="334" customFormat="1" ht="15" customHeight="1">
      <c r="A55" s="350"/>
      <c r="C55" s="348"/>
    </row>
    <row r="56" spans="1:3" s="334" customFormat="1" ht="15" customHeight="1">
      <c r="A56" s="350"/>
      <c r="C56" s="348"/>
    </row>
    <row r="57" spans="1:3" s="334" customFormat="1" ht="15" customHeight="1">
      <c r="A57" s="350"/>
      <c r="C57" s="348"/>
    </row>
    <row r="58" spans="1:3" s="334" customFormat="1" ht="15" customHeight="1">
      <c r="A58" s="350"/>
      <c r="C58" s="348"/>
    </row>
    <row r="59" spans="1:3" s="334" customFormat="1" ht="15" customHeight="1">
      <c r="A59" s="350"/>
      <c r="C59" s="348"/>
    </row>
    <row r="60" spans="1:3" s="334" customFormat="1" ht="15" customHeight="1">
      <c r="A60" s="350"/>
      <c r="C60" s="348"/>
    </row>
    <row r="61" spans="1:3" s="334" customFormat="1" ht="15" customHeight="1">
      <c r="A61" s="350"/>
      <c r="C61" s="348"/>
    </row>
    <row r="62" spans="1:3" s="334" customFormat="1" ht="15" customHeight="1">
      <c r="A62" s="350"/>
      <c r="C62" s="348"/>
    </row>
    <row r="63" spans="1:3" s="334" customFormat="1" ht="15" customHeight="1">
      <c r="A63" s="350"/>
      <c r="C63" s="348"/>
    </row>
    <row r="64" spans="1:3" s="334" customFormat="1" ht="15" customHeight="1">
      <c r="A64" s="350"/>
      <c r="C64" s="348"/>
    </row>
    <row r="65" spans="1:3" s="334" customFormat="1" ht="15" customHeight="1">
      <c r="A65" s="350"/>
      <c r="C65" s="348"/>
    </row>
    <row r="66" spans="1:3" s="334" customFormat="1" ht="15" customHeight="1">
      <c r="A66" s="350"/>
      <c r="C66" s="348"/>
    </row>
    <row r="67" spans="1:3" s="334" customFormat="1" ht="15" customHeight="1">
      <c r="A67" s="350"/>
      <c r="C67" s="348"/>
    </row>
    <row r="68" spans="1:3" s="334" customFormat="1" ht="15" customHeight="1">
      <c r="A68" s="350"/>
      <c r="C68" s="348"/>
    </row>
    <row r="69" spans="1:3" s="334" customFormat="1" ht="15" customHeight="1">
      <c r="A69" s="350"/>
      <c r="C69" s="348"/>
    </row>
    <row r="70" spans="1:3" s="334" customFormat="1" ht="15" customHeight="1">
      <c r="A70" s="350"/>
      <c r="C70" s="348"/>
    </row>
    <row r="71" spans="1:3" s="334" customFormat="1" ht="15" customHeight="1">
      <c r="A71" s="350"/>
      <c r="C71" s="348"/>
    </row>
    <row r="72" spans="1:3" s="334" customFormat="1" ht="15" customHeight="1">
      <c r="A72" s="350"/>
      <c r="C72" s="348"/>
    </row>
    <row r="73" spans="1:3" s="334" customFormat="1" ht="15" customHeight="1">
      <c r="A73" s="350"/>
      <c r="C73" s="348"/>
    </row>
    <row r="74" spans="1:3" s="334" customFormat="1" ht="15" customHeight="1">
      <c r="A74" s="350"/>
      <c r="C74" s="348"/>
    </row>
    <row r="75" spans="1:3" s="334" customFormat="1" ht="15" customHeight="1">
      <c r="A75" s="350"/>
      <c r="C75" s="348"/>
    </row>
    <row r="76" spans="1:3" s="334" customFormat="1" ht="15" customHeight="1">
      <c r="A76" s="350"/>
      <c r="C76" s="348"/>
    </row>
    <row r="77" spans="1:3" s="334" customFormat="1" ht="15" customHeight="1">
      <c r="A77" s="350"/>
      <c r="C77" s="348"/>
    </row>
    <row r="78" spans="1:3" s="334" customFormat="1" ht="15" customHeight="1">
      <c r="A78" s="350"/>
      <c r="C78" s="348"/>
    </row>
    <row r="79" spans="1:3" s="334" customFormat="1" ht="15" customHeight="1">
      <c r="A79" s="350"/>
      <c r="C79" s="348"/>
    </row>
    <row r="80" spans="1:3" s="334" customFormat="1" ht="15" customHeight="1">
      <c r="A80" s="350"/>
      <c r="C80" s="348"/>
    </row>
    <row r="81" spans="1:3" s="334" customFormat="1" ht="15" customHeight="1">
      <c r="A81" s="350"/>
      <c r="C81" s="348"/>
    </row>
    <row r="82" spans="1:3" s="334" customFormat="1" ht="15" customHeight="1">
      <c r="A82" s="350"/>
      <c r="C82" s="348"/>
    </row>
    <row r="83" spans="1:3" s="334" customFormat="1" ht="15" customHeight="1">
      <c r="A83" s="350"/>
      <c r="C83" s="348"/>
    </row>
    <row r="84" spans="1:3" s="334" customFormat="1" ht="15" customHeight="1">
      <c r="A84" s="350"/>
      <c r="C84" s="348"/>
    </row>
    <row r="85" spans="1:3" s="334" customFormat="1" ht="15" customHeight="1">
      <c r="A85" s="350"/>
      <c r="C85" s="348"/>
    </row>
    <row r="86" spans="1:3" s="334" customFormat="1" ht="15" customHeight="1">
      <c r="A86" s="350"/>
      <c r="C86" s="348"/>
    </row>
    <row r="87" spans="1:3" s="334" customFormat="1" ht="15" customHeight="1">
      <c r="A87" s="350"/>
      <c r="C87" s="348"/>
    </row>
    <row r="88" spans="1:3" s="334" customFormat="1" ht="15" customHeight="1">
      <c r="A88" s="350"/>
      <c r="C88" s="348"/>
    </row>
    <row r="89" spans="1:3" s="334" customFormat="1" ht="15" customHeight="1">
      <c r="A89" s="350"/>
      <c r="C89" s="348"/>
    </row>
    <row r="90" spans="1:3" s="334" customFormat="1" ht="15" customHeight="1">
      <c r="A90" s="350"/>
      <c r="C90" s="348"/>
    </row>
    <row r="91" spans="1:3" s="334" customFormat="1" ht="15" customHeight="1">
      <c r="A91" s="350"/>
      <c r="C91" s="348"/>
    </row>
    <row r="92" spans="1:3" s="334" customFormat="1" ht="15" customHeight="1">
      <c r="A92" s="350"/>
      <c r="C92" s="348"/>
    </row>
    <row r="93" spans="1:3" s="334" customFormat="1" ht="15" customHeight="1">
      <c r="A93" s="350"/>
      <c r="C93" s="348"/>
    </row>
    <row r="94" spans="1:3" ht="15" customHeight="1"/>
  </sheetData>
  <mergeCells count="2">
    <mergeCell ref="A1:C1"/>
    <mergeCell ref="A2:C2"/>
  </mergeCells>
  <phoneticPr fontId="6" type="noConversion"/>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4" enableFormatConditionsCalculation="0">
    <tabColor indexed="13"/>
    <pageSetUpPr fitToPage="1"/>
  </sheetPr>
  <dimension ref="A1:S29"/>
  <sheetViews>
    <sheetView workbookViewId="0">
      <selection activeCell="H10" sqref="H10"/>
    </sheetView>
  </sheetViews>
  <sheetFormatPr defaultRowHeight="15.75" customHeight="1" outlineLevelCol="1"/>
  <cols>
    <col min="1" max="1" width="4.375" style="4" customWidth="1"/>
    <col min="2" max="2" width="6.875" style="4" customWidth="1"/>
    <col min="3" max="3" width="14.625" style="4" customWidth="1"/>
    <col min="4" max="4" width="8" style="4" customWidth="1" outlineLevel="1"/>
    <col min="5" max="5" width="9" style="4"/>
    <col min="6" max="6" width="5.25" style="4" customWidth="1"/>
    <col min="7" max="7" width="9.125" style="4" customWidth="1"/>
    <col min="8" max="8" width="11.875" style="4" customWidth="1"/>
    <col min="9" max="12" width="11" style="4" customWidth="1" outlineLevel="1"/>
    <col min="13" max="15" width="11" style="4" customWidth="1"/>
    <col min="16" max="16" width="7" style="4" customWidth="1"/>
    <col min="17" max="17" width="11" style="4" customWidth="1"/>
    <col min="18" max="18" width="5.125" style="4" customWidth="1"/>
    <col min="19" max="19" width="5.5" style="4" customWidth="1"/>
    <col min="20" max="16384" width="9" style="4"/>
  </cols>
  <sheetData>
    <row r="1" spans="1:19" ht="14.25">
      <c r="A1" s="272" t="s">
        <v>130</v>
      </c>
      <c r="B1" s="196" t="s">
        <v>131</v>
      </c>
      <c r="C1" s="1"/>
      <c r="D1" s="1"/>
      <c r="E1" s="1"/>
      <c r="F1" s="1"/>
      <c r="G1" s="1"/>
      <c r="H1" s="1"/>
      <c r="I1" s="1"/>
      <c r="J1" s="1"/>
      <c r="K1" s="1"/>
      <c r="L1" s="1"/>
      <c r="M1" s="1"/>
      <c r="N1" s="1"/>
      <c r="O1" s="1"/>
      <c r="P1" s="1"/>
      <c r="Q1" s="1"/>
      <c r="R1" s="1"/>
      <c r="S1" s="1"/>
    </row>
    <row r="2" spans="1:19" s="114" customFormat="1" ht="30" customHeight="1">
      <c r="A2" s="790" t="s">
        <v>872</v>
      </c>
      <c r="B2" s="791"/>
      <c r="C2" s="791"/>
      <c r="D2" s="791"/>
      <c r="E2" s="791"/>
      <c r="F2" s="791"/>
      <c r="G2" s="791"/>
      <c r="H2" s="791"/>
      <c r="I2" s="791"/>
      <c r="J2" s="791"/>
      <c r="K2" s="791"/>
      <c r="L2" s="791"/>
      <c r="M2" s="791"/>
      <c r="N2" s="791"/>
      <c r="O2" s="791"/>
      <c r="P2" s="791"/>
      <c r="Q2" s="791"/>
      <c r="R2" s="791"/>
      <c r="S2" s="791"/>
    </row>
    <row r="3" spans="1:19" ht="14.1" customHeight="1">
      <c r="A3" s="792" t="e">
        <f>CONCATENATE(#REF!,#REF!,#REF!,#REF!,#REF!,#REF!,#REF!)</f>
        <v>#REF!</v>
      </c>
      <c r="B3" s="792"/>
      <c r="C3" s="792"/>
      <c r="D3" s="792"/>
      <c r="E3" s="792"/>
      <c r="F3" s="792"/>
      <c r="G3" s="792"/>
      <c r="H3" s="808"/>
      <c r="I3" s="808"/>
      <c r="J3" s="808"/>
      <c r="K3" s="808"/>
      <c r="L3" s="808"/>
      <c r="M3" s="808"/>
      <c r="N3" s="808"/>
      <c r="O3" s="808"/>
      <c r="P3" s="808"/>
      <c r="Q3" s="808"/>
      <c r="R3" s="808"/>
      <c r="S3" s="808"/>
    </row>
    <row r="4" spans="1:19" ht="15.75" customHeight="1">
      <c r="A4" s="115" t="e">
        <f>#REF!&amp;#REF!</f>
        <v>#REF!</v>
      </c>
      <c r="S4" s="106" t="s">
        <v>572</v>
      </c>
    </row>
    <row r="5" spans="1:19" s="1" customFormat="1" ht="15.75" customHeight="1">
      <c r="A5" s="815" t="s">
        <v>573</v>
      </c>
      <c r="B5" s="815" t="s">
        <v>772</v>
      </c>
      <c r="C5" s="837" t="s">
        <v>773</v>
      </c>
      <c r="D5" s="895" t="s">
        <v>574</v>
      </c>
      <c r="E5" s="837" t="s">
        <v>774</v>
      </c>
      <c r="F5" s="837" t="s">
        <v>775</v>
      </c>
      <c r="G5" s="837" t="s">
        <v>776</v>
      </c>
      <c r="H5" s="837" t="s">
        <v>777</v>
      </c>
      <c r="I5" s="986" t="s">
        <v>426</v>
      </c>
      <c r="J5" s="987"/>
      <c r="K5" s="916" t="s">
        <v>710</v>
      </c>
      <c r="L5" s="917"/>
      <c r="M5" s="837" t="s">
        <v>315</v>
      </c>
      <c r="N5" s="838"/>
      <c r="O5" s="837" t="s">
        <v>578</v>
      </c>
      <c r="P5" s="838"/>
      <c r="Q5" s="838"/>
      <c r="R5" s="837" t="s">
        <v>579</v>
      </c>
      <c r="S5" s="837" t="s">
        <v>580</v>
      </c>
    </row>
    <row r="6" spans="1:19" s="116" customFormat="1" ht="15.75" customHeight="1">
      <c r="A6" s="816"/>
      <c r="B6" s="816"/>
      <c r="C6" s="816"/>
      <c r="D6" s="896"/>
      <c r="E6" s="816"/>
      <c r="F6" s="816"/>
      <c r="G6" s="816"/>
      <c r="H6" s="816"/>
      <c r="I6" s="102" t="s">
        <v>581</v>
      </c>
      <c r="J6" s="102" t="s">
        <v>582</v>
      </c>
      <c r="K6" s="102" t="s">
        <v>270</v>
      </c>
      <c r="L6" s="102" t="s">
        <v>271</v>
      </c>
      <c r="M6" s="102" t="s">
        <v>581</v>
      </c>
      <c r="N6" s="102" t="s">
        <v>582</v>
      </c>
      <c r="O6" s="102" t="s">
        <v>581</v>
      </c>
      <c r="P6" s="102" t="s">
        <v>583</v>
      </c>
      <c r="Q6" s="102" t="s">
        <v>582</v>
      </c>
      <c r="R6" s="816"/>
      <c r="S6" s="816"/>
    </row>
    <row r="7" spans="1:19" ht="15.75" customHeight="1">
      <c r="A7" s="105"/>
      <c r="B7" s="128"/>
      <c r="C7" s="128"/>
      <c r="D7" s="164"/>
      <c r="E7" s="128"/>
      <c r="F7" s="105"/>
      <c r="G7" s="105"/>
      <c r="H7" s="121"/>
      <c r="I7" s="142"/>
      <c r="J7" s="142"/>
      <c r="K7" s="142"/>
      <c r="L7" s="142"/>
      <c r="M7" s="142"/>
      <c r="N7" s="142"/>
      <c r="O7" s="142"/>
      <c r="P7" s="153"/>
      <c r="Q7" s="142">
        <f t="shared" ref="Q7:Q24" si="0">ROUND(O7*P7/100,0)</f>
        <v>0</v>
      </c>
      <c r="R7" s="142" t="str">
        <f t="shared" ref="R7:R27" si="1">IF(N7=0,"",(Q7-N7)/N7*100)</f>
        <v/>
      </c>
      <c r="S7" s="120"/>
    </row>
    <row r="8" spans="1:19" ht="15.75" customHeight="1">
      <c r="A8" s="105"/>
      <c r="B8" s="128"/>
      <c r="C8" s="128"/>
      <c r="D8" s="164"/>
      <c r="E8" s="128"/>
      <c r="F8" s="105"/>
      <c r="G8" s="105"/>
      <c r="H8" s="121"/>
      <c r="I8" s="142"/>
      <c r="J8" s="142"/>
      <c r="K8" s="142"/>
      <c r="L8" s="142"/>
      <c r="M8" s="142"/>
      <c r="N8" s="142"/>
      <c r="O8" s="142"/>
      <c r="P8" s="153"/>
      <c r="Q8" s="142">
        <f t="shared" si="0"/>
        <v>0</v>
      </c>
      <c r="R8" s="142" t="str">
        <f t="shared" si="1"/>
        <v/>
      </c>
      <c r="S8" s="120"/>
    </row>
    <row r="9" spans="1:19" ht="15.75" customHeight="1">
      <c r="A9" s="105"/>
      <c r="B9" s="128"/>
      <c r="C9" s="128"/>
      <c r="D9" s="164"/>
      <c r="E9" s="128"/>
      <c r="F9" s="105"/>
      <c r="G9" s="105"/>
      <c r="H9" s="121"/>
      <c r="I9" s="142"/>
      <c r="J9" s="142"/>
      <c r="K9" s="142"/>
      <c r="L9" s="142"/>
      <c r="M9" s="142"/>
      <c r="N9" s="142"/>
      <c r="O9" s="142"/>
      <c r="P9" s="153"/>
      <c r="Q9" s="142">
        <f t="shared" si="0"/>
        <v>0</v>
      </c>
      <c r="R9" s="142" t="str">
        <f t="shared" si="1"/>
        <v/>
      </c>
      <c r="S9" s="120"/>
    </row>
    <row r="10" spans="1:19" ht="15.75" customHeight="1">
      <c r="A10" s="105"/>
      <c r="B10" s="128"/>
      <c r="C10" s="128"/>
      <c r="D10" s="164"/>
      <c r="E10" s="128"/>
      <c r="F10" s="105"/>
      <c r="G10" s="105"/>
      <c r="H10" s="121"/>
      <c r="I10" s="142"/>
      <c r="J10" s="142"/>
      <c r="K10" s="142"/>
      <c r="L10" s="142"/>
      <c r="M10" s="142"/>
      <c r="N10" s="142"/>
      <c r="O10" s="142"/>
      <c r="P10" s="153"/>
      <c r="Q10" s="142">
        <f t="shared" si="0"/>
        <v>0</v>
      </c>
      <c r="R10" s="142" t="str">
        <f t="shared" si="1"/>
        <v/>
      </c>
      <c r="S10" s="120"/>
    </row>
    <row r="11" spans="1:19" ht="15.75" customHeight="1">
      <c r="A11" s="105"/>
      <c r="B11" s="128"/>
      <c r="C11" s="128"/>
      <c r="D11" s="164"/>
      <c r="E11" s="128"/>
      <c r="F11" s="105"/>
      <c r="G11" s="105"/>
      <c r="H11" s="121"/>
      <c r="I11" s="142"/>
      <c r="J11" s="142"/>
      <c r="K11" s="142"/>
      <c r="L11" s="142"/>
      <c r="M11" s="142"/>
      <c r="N11" s="142"/>
      <c r="O11" s="142"/>
      <c r="P11" s="153"/>
      <c r="Q11" s="142">
        <f t="shared" si="0"/>
        <v>0</v>
      </c>
      <c r="R11" s="142" t="str">
        <f t="shared" si="1"/>
        <v/>
      </c>
      <c r="S11" s="120"/>
    </row>
    <row r="12" spans="1:19" ht="15.75" customHeight="1">
      <c r="A12" s="105"/>
      <c r="B12" s="128"/>
      <c r="C12" s="128"/>
      <c r="D12" s="164"/>
      <c r="E12" s="128"/>
      <c r="F12" s="105"/>
      <c r="G12" s="105"/>
      <c r="H12" s="121"/>
      <c r="I12" s="142"/>
      <c r="J12" s="142"/>
      <c r="K12" s="142"/>
      <c r="L12" s="142"/>
      <c r="M12" s="142"/>
      <c r="N12" s="142"/>
      <c r="O12" s="142"/>
      <c r="P12" s="153"/>
      <c r="Q12" s="142">
        <f t="shared" si="0"/>
        <v>0</v>
      </c>
      <c r="R12" s="142" t="str">
        <f t="shared" si="1"/>
        <v/>
      </c>
      <c r="S12" s="120"/>
    </row>
    <row r="13" spans="1:19" ht="15.75" customHeight="1">
      <c r="A13" s="105"/>
      <c r="B13" s="128"/>
      <c r="C13" s="128"/>
      <c r="D13" s="164"/>
      <c r="E13" s="128"/>
      <c r="F13" s="105"/>
      <c r="G13" s="105"/>
      <c r="H13" s="121"/>
      <c r="I13" s="142"/>
      <c r="J13" s="142"/>
      <c r="K13" s="142"/>
      <c r="L13" s="142"/>
      <c r="M13" s="142"/>
      <c r="N13" s="142"/>
      <c r="O13" s="142"/>
      <c r="P13" s="153"/>
      <c r="Q13" s="142">
        <f t="shared" si="0"/>
        <v>0</v>
      </c>
      <c r="R13" s="142" t="str">
        <f t="shared" si="1"/>
        <v/>
      </c>
      <c r="S13" s="120"/>
    </row>
    <row r="14" spans="1:19" ht="15.75" customHeight="1">
      <c r="A14" s="105"/>
      <c r="B14" s="128"/>
      <c r="C14" s="128"/>
      <c r="D14" s="164"/>
      <c r="E14" s="128"/>
      <c r="F14" s="105"/>
      <c r="G14" s="105"/>
      <c r="H14" s="121"/>
      <c r="I14" s="142"/>
      <c r="J14" s="142"/>
      <c r="K14" s="142"/>
      <c r="L14" s="142"/>
      <c r="M14" s="142"/>
      <c r="N14" s="142"/>
      <c r="O14" s="142"/>
      <c r="P14" s="153"/>
      <c r="Q14" s="142">
        <f t="shared" si="0"/>
        <v>0</v>
      </c>
      <c r="R14" s="142" t="str">
        <f t="shared" si="1"/>
        <v/>
      </c>
      <c r="S14" s="120"/>
    </row>
    <row r="15" spans="1:19" ht="15.75" customHeight="1">
      <c r="A15" s="105"/>
      <c r="B15" s="128"/>
      <c r="C15" s="128"/>
      <c r="D15" s="164"/>
      <c r="E15" s="128"/>
      <c r="F15" s="105"/>
      <c r="G15" s="105"/>
      <c r="H15" s="121"/>
      <c r="I15" s="142"/>
      <c r="J15" s="142"/>
      <c r="K15" s="142"/>
      <c r="L15" s="142"/>
      <c r="M15" s="142"/>
      <c r="N15" s="142"/>
      <c r="O15" s="142"/>
      <c r="P15" s="153"/>
      <c r="Q15" s="142">
        <f t="shared" si="0"/>
        <v>0</v>
      </c>
      <c r="R15" s="142" t="str">
        <f t="shared" si="1"/>
        <v/>
      </c>
      <c r="S15" s="120"/>
    </row>
    <row r="16" spans="1:19" ht="15.75" customHeight="1">
      <c r="A16" s="105"/>
      <c r="B16" s="128"/>
      <c r="C16" s="128"/>
      <c r="D16" s="164"/>
      <c r="E16" s="128"/>
      <c r="F16" s="105"/>
      <c r="G16" s="105"/>
      <c r="H16" s="121"/>
      <c r="I16" s="142"/>
      <c r="J16" s="142"/>
      <c r="K16" s="142"/>
      <c r="L16" s="142"/>
      <c r="M16" s="142"/>
      <c r="N16" s="142"/>
      <c r="O16" s="142"/>
      <c r="P16" s="153"/>
      <c r="Q16" s="142">
        <f t="shared" si="0"/>
        <v>0</v>
      </c>
      <c r="R16" s="142" t="str">
        <f t="shared" si="1"/>
        <v/>
      </c>
      <c r="S16" s="120"/>
    </row>
    <row r="17" spans="1:19" ht="15.75" customHeight="1">
      <c r="A17" s="105"/>
      <c r="B17" s="128"/>
      <c r="C17" s="128"/>
      <c r="D17" s="164"/>
      <c r="E17" s="128"/>
      <c r="F17" s="105"/>
      <c r="G17" s="105"/>
      <c r="H17" s="121"/>
      <c r="I17" s="142"/>
      <c r="J17" s="142"/>
      <c r="K17" s="142"/>
      <c r="L17" s="142"/>
      <c r="M17" s="142"/>
      <c r="N17" s="142"/>
      <c r="O17" s="142"/>
      <c r="P17" s="153"/>
      <c r="Q17" s="142">
        <f t="shared" si="0"/>
        <v>0</v>
      </c>
      <c r="R17" s="142" t="str">
        <f t="shared" si="1"/>
        <v/>
      </c>
      <c r="S17" s="120"/>
    </row>
    <row r="18" spans="1:19" ht="15.75" customHeight="1">
      <c r="A18" s="105"/>
      <c r="B18" s="128"/>
      <c r="C18" s="128"/>
      <c r="D18" s="164"/>
      <c r="E18" s="128"/>
      <c r="F18" s="105"/>
      <c r="G18" s="105"/>
      <c r="H18" s="121"/>
      <c r="I18" s="142"/>
      <c r="J18" s="142"/>
      <c r="K18" s="142"/>
      <c r="L18" s="142"/>
      <c r="M18" s="142"/>
      <c r="N18" s="142"/>
      <c r="O18" s="142"/>
      <c r="P18" s="153"/>
      <c r="Q18" s="142">
        <f t="shared" si="0"/>
        <v>0</v>
      </c>
      <c r="R18" s="142" t="str">
        <f t="shared" si="1"/>
        <v/>
      </c>
      <c r="S18" s="120"/>
    </row>
    <row r="19" spans="1:19" ht="15.75" customHeight="1">
      <c r="A19" s="105"/>
      <c r="B19" s="128"/>
      <c r="C19" s="128"/>
      <c r="D19" s="164"/>
      <c r="E19" s="128"/>
      <c r="F19" s="105"/>
      <c r="G19" s="105"/>
      <c r="H19" s="121"/>
      <c r="I19" s="142"/>
      <c r="J19" s="142"/>
      <c r="K19" s="142"/>
      <c r="L19" s="142"/>
      <c r="M19" s="142"/>
      <c r="N19" s="142"/>
      <c r="O19" s="142"/>
      <c r="P19" s="153"/>
      <c r="Q19" s="142">
        <f t="shared" si="0"/>
        <v>0</v>
      </c>
      <c r="R19" s="142" t="str">
        <f t="shared" si="1"/>
        <v/>
      </c>
      <c r="S19" s="120"/>
    </row>
    <row r="20" spans="1:19" ht="15.75" customHeight="1">
      <c r="A20" s="105"/>
      <c r="B20" s="128"/>
      <c r="C20" s="128"/>
      <c r="D20" s="164"/>
      <c r="E20" s="128"/>
      <c r="F20" s="105"/>
      <c r="G20" s="105"/>
      <c r="H20" s="121"/>
      <c r="I20" s="142"/>
      <c r="J20" s="142"/>
      <c r="K20" s="142"/>
      <c r="L20" s="142"/>
      <c r="M20" s="142"/>
      <c r="N20" s="142"/>
      <c r="O20" s="142"/>
      <c r="P20" s="153"/>
      <c r="Q20" s="142">
        <f t="shared" si="0"/>
        <v>0</v>
      </c>
      <c r="R20" s="142" t="str">
        <f t="shared" si="1"/>
        <v/>
      </c>
      <c r="S20" s="120"/>
    </row>
    <row r="21" spans="1:19" ht="15.75" customHeight="1">
      <c r="A21" s="105"/>
      <c r="B21" s="128"/>
      <c r="C21" s="128"/>
      <c r="D21" s="164"/>
      <c r="E21" s="128"/>
      <c r="F21" s="105"/>
      <c r="G21" s="105"/>
      <c r="H21" s="121"/>
      <c r="I21" s="142"/>
      <c r="J21" s="142"/>
      <c r="K21" s="142"/>
      <c r="L21" s="142"/>
      <c r="M21" s="142"/>
      <c r="N21" s="142"/>
      <c r="O21" s="142"/>
      <c r="P21" s="153"/>
      <c r="Q21" s="142">
        <f t="shared" si="0"/>
        <v>0</v>
      </c>
      <c r="R21" s="142" t="str">
        <f t="shared" si="1"/>
        <v/>
      </c>
      <c r="S21" s="120"/>
    </row>
    <row r="22" spans="1:19" ht="15.75" customHeight="1">
      <c r="A22" s="105"/>
      <c r="B22" s="128"/>
      <c r="C22" s="128"/>
      <c r="D22" s="164"/>
      <c r="E22" s="128"/>
      <c r="F22" s="105"/>
      <c r="G22" s="105"/>
      <c r="H22" s="121"/>
      <c r="I22" s="142"/>
      <c r="J22" s="142"/>
      <c r="K22" s="142"/>
      <c r="L22" s="142"/>
      <c r="M22" s="142"/>
      <c r="N22" s="142"/>
      <c r="O22" s="142"/>
      <c r="P22" s="153"/>
      <c r="Q22" s="142">
        <f t="shared" si="0"/>
        <v>0</v>
      </c>
      <c r="R22" s="142" t="str">
        <f t="shared" si="1"/>
        <v/>
      </c>
      <c r="S22" s="120"/>
    </row>
    <row r="23" spans="1:19" ht="15.75" customHeight="1">
      <c r="A23" s="105"/>
      <c r="B23" s="128"/>
      <c r="C23" s="128"/>
      <c r="D23" s="164"/>
      <c r="E23" s="128"/>
      <c r="F23" s="105"/>
      <c r="G23" s="105"/>
      <c r="H23" s="121"/>
      <c r="I23" s="142"/>
      <c r="J23" s="142"/>
      <c r="K23" s="142"/>
      <c r="L23" s="142"/>
      <c r="M23" s="142"/>
      <c r="N23" s="142"/>
      <c r="O23" s="142"/>
      <c r="P23" s="153"/>
      <c r="Q23" s="142">
        <f t="shared" si="0"/>
        <v>0</v>
      </c>
      <c r="R23" s="142" t="str">
        <f t="shared" si="1"/>
        <v/>
      </c>
      <c r="S23" s="120"/>
    </row>
    <row r="24" spans="1:19" ht="15.75" customHeight="1">
      <c r="A24" s="105"/>
      <c r="B24" s="128"/>
      <c r="C24" s="128"/>
      <c r="D24" s="164"/>
      <c r="E24" s="128"/>
      <c r="F24" s="105"/>
      <c r="G24" s="105"/>
      <c r="H24" s="121"/>
      <c r="I24" s="142"/>
      <c r="J24" s="142"/>
      <c r="K24" s="142"/>
      <c r="L24" s="142"/>
      <c r="M24" s="142"/>
      <c r="N24" s="142"/>
      <c r="O24" s="142"/>
      <c r="P24" s="153"/>
      <c r="Q24" s="142">
        <f t="shared" si="0"/>
        <v>0</v>
      </c>
      <c r="R24" s="142" t="str">
        <f t="shared" si="1"/>
        <v/>
      </c>
      <c r="S24" s="120"/>
    </row>
    <row r="25" spans="1:19" ht="15.75" customHeight="1">
      <c r="A25" s="815" t="s">
        <v>54</v>
      </c>
      <c r="B25" s="815"/>
      <c r="C25" s="815"/>
      <c r="D25" s="164"/>
      <c r="E25" s="128"/>
      <c r="F25" s="105"/>
      <c r="G25" s="105"/>
      <c r="H25" s="121"/>
      <c r="I25" s="142">
        <f t="shared" ref="I25:Q25" si="2">SUM(I7:I24)</f>
        <v>0</v>
      </c>
      <c r="J25" s="142">
        <f t="shared" si="2"/>
        <v>0</v>
      </c>
      <c r="K25" s="142"/>
      <c r="L25" s="142"/>
      <c r="M25" s="142">
        <f t="shared" si="2"/>
        <v>0</v>
      </c>
      <c r="N25" s="142">
        <f t="shared" si="2"/>
        <v>0</v>
      </c>
      <c r="O25" s="142">
        <f t="shared" si="2"/>
        <v>0</v>
      </c>
      <c r="P25" s="153"/>
      <c r="Q25" s="142">
        <f t="shared" si="2"/>
        <v>0</v>
      </c>
      <c r="R25" s="142" t="str">
        <f t="shared" si="1"/>
        <v/>
      </c>
      <c r="S25" s="120"/>
    </row>
    <row r="26" spans="1:19" ht="15.75" customHeight="1">
      <c r="A26" s="815" t="s">
        <v>586</v>
      </c>
      <c r="B26" s="815"/>
      <c r="C26" s="815"/>
      <c r="D26" s="164"/>
      <c r="E26" s="120"/>
      <c r="F26" s="105"/>
      <c r="G26" s="105"/>
      <c r="H26" s="121"/>
      <c r="I26" s="142"/>
      <c r="J26" s="142"/>
      <c r="K26" s="142"/>
      <c r="L26" s="142"/>
      <c r="M26" s="142"/>
      <c r="N26" s="142">
        <f>J26</f>
        <v>0</v>
      </c>
      <c r="O26" s="142"/>
      <c r="P26" s="153"/>
      <c r="Q26" s="142">
        <v>0</v>
      </c>
      <c r="R26" s="142" t="str">
        <f t="shared" si="1"/>
        <v/>
      </c>
      <c r="S26" s="120"/>
    </row>
    <row r="27" spans="1:19" ht="15.75" customHeight="1">
      <c r="A27" s="815" t="s">
        <v>418</v>
      </c>
      <c r="B27" s="815"/>
      <c r="C27" s="815"/>
      <c r="D27" s="15"/>
      <c r="E27" s="105"/>
      <c r="F27" s="105"/>
      <c r="G27" s="105"/>
      <c r="H27" s="121"/>
      <c r="I27" s="142">
        <f t="shared" ref="I27:Q27" si="3">I25-I26</f>
        <v>0</v>
      </c>
      <c r="J27" s="142">
        <f t="shared" si="3"/>
        <v>0</v>
      </c>
      <c r="K27" s="142"/>
      <c r="L27" s="142"/>
      <c r="M27" s="142">
        <f t="shared" si="3"/>
        <v>0</v>
      </c>
      <c r="N27" s="142">
        <f t="shared" si="3"/>
        <v>0</v>
      </c>
      <c r="O27" s="142">
        <f t="shared" si="3"/>
        <v>0</v>
      </c>
      <c r="P27" s="153"/>
      <c r="Q27" s="142">
        <f t="shared" si="3"/>
        <v>0</v>
      </c>
      <c r="R27" s="142" t="str">
        <f t="shared" si="1"/>
        <v/>
      </c>
      <c r="S27" s="120"/>
    </row>
    <row r="28" spans="1:19" ht="15.75" customHeight="1">
      <c r="A28" s="101" t="e">
        <f>#REF!&amp;#REF!</f>
        <v>#REF!</v>
      </c>
      <c r="M28" s="129" t="e">
        <f>"评估人员："&amp;#REF!</f>
        <v>#REF!</v>
      </c>
    </row>
    <row r="29" spans="1:19" ht="15.75" customHeight="1">
      <c r="A29" s="101" t="e">
        <f>CONCATENATE(#REF!,#REF!,#REF!,#REF!,#REF!,#REF!,#REF!)</f>
        <v>#REF!</v>
      </c>
    </row>
  </sheetData>
  <mergeCells count="19">
    <mergeCell ref="A2:S2"/>
    <mergeCell ref="M5:N5"/>
    <mergeCell ref="O5:Q5"/>
    <mergeCell ref="R5:R6"/>
    <mergeCell ref="E5:E6"/>
    <mergeCell ref="F5:F6"/>
    <mergeCell ref="K5:L5"/>
    <mergeCell ref="I5:J5"/>
    <mergeCell ref="A3:S3"/>
    <mergeCell ref="S5:S6"/>
    <mergeCell ref="A27:C27"/>
    <mergeCell ref="H5:H6"/>
    <mergeCell ref="A5:A6"/>
    <mergeCell ref="B5:B6"/>
    <mergeCell ref="C5:C6"/>
    <mergeCell ref="D5:D6"/>
    <mergeCell ref="G5:G6"/>
    <mergeCell ref="A25:C25"/>
    <mergeCell ref="A26:C26"/>
  </mergeCells>
  <phoneticPr fontId="6" type="noConversion"/>
  <hyperlinks>
    <hyperlink ref="A1" location="索引目录!D47" display="油气资产"/>
    <hyperlink ref="B1" location="固定资产汇总!B28" display="油气资产"/>
  </hyperlinks>
  <printOptions horizontalCentered="1"/>
  <pageMargins left="0.35433070866141736" right="0.35433070866141736" top="0.78740157480314965" bottom="0.78740157480314965" header="1.03" footer="0.51181102362204722"/>
  <pageSetup paperSize="9" scale="75" fitToHeight="0" orientation="landscape" horizontalDpi="4294967292" r:id="rId1"/>
  <headerFooter alignWithMargins="0">
    <oddHeader>&amp;R&amp;"宋体,常规"&amp;10表&amp;"Times New Roman,常规"4-11
&amp;"宋体,常规"共&amp;"Times New Roman,常规"&amp;N&amp;"宋体,常规"页第&amp;"Times New Roman,常规"&amp;P&amp;"宋体,常规"页</oddHeader>
  </headerFooter>
  <legacy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pageSetUpPr fitToPage="1"/>
  </sheetPr>
  <dimension ref="A1:G28"/>
  <sheetViews>
    <sheetView zoomScale="85" workbookViewId="0">
      <selection activeCell="H10" sqref="H10"/>
    </sheetView>
  </sheetViews>
  <sheetFormatPr defaultRowHeight="15.75" customHeight="1" outlineLevelCol="1"/>
  <cols>
    <col min="1" max="1" width="9.875" style="4" customWidth="1"/>
    <col min="2" max="2" width="28" style="4" customWidth="1"/>
    <col min="3" max="3" width="19.125" style="4" customWidth="1" outlineLevel="1"/>
    <col min="4" max="4" width="25" style="4" customWidth="1"/>
    <col min="5" max="5" width="24.375" style="4" customWidth="1"/>
    <col min="6" max="6" width="20.875" style="4" customWidth="1"/>
    <col min="7" max="7" width="14.375" style="4" customWidth="1"/>
    <col min="8" max="16384" width="9" style="4"/>
  </cols>
  <sheetData>
    <row r="1" spans="1:7" ht="14.25">
      <c r="A1" s="272" t="s">
        <v>206</v>
      </c>
      <c r="B1" s="196" t="s">
        <v>132</v>
      </c>
      <c r="C1" s="1"/>
      <c r="D1" s="1"/>
      <c r="E1" s="1"/>
      <c r="F1" s="1"/>
      <c r="G1" s="1"/>
    </row>
    <row r="2" spans="1:7" s="114" customFormat="1" ht="30" customHeight="1">
      <c r="A2" s="790" t="s">
        <v>871</v>
      </c>
      <c r="B2" s="791"/>
      <c r="C2" s="791"/>
      <c r="D2" s="791"/>
      <c r="E2" s="791"/>
      <c r="F2" s="791"/>
      <c r="G2" s="791"/>
    </row>
    <row r="3" spans="1:7" ht="14.1" customHeight="1">
      <c r="A3" s="792" t="e">
        <f>CONCATENATE(#REF!,#REF!,#REF!,#REF!,#REF!,#REF!,#REF!)</f>
        <v>#REF!</v>
      </c>
      <c r="B3" s="792"/>
      <c r="C3" s="792"/>
      <c r="D3" s="792"/>
      <c r="E3" s="792"/>
      <c r="F3" s="792"/>
      <c r="G3" s="792"/>
    </row>
    <row r="4" spans="1:7" ht="15.75" customHeight="1">
      <c r="A4" s="115" t="e">
        <f>#REF!&amp;#REF!</f>
        <v>#REF!</v>
      </c>
      <c r="G4" s="156" t="s">
        <v>3</v>
      </c>
    </row>
    <row r="5" spans="1:7" s="284" customFormat="1" ht="15.75" customHeight="1">
      <c r="A5" s="323" t="s">
        <v>235</v>
      </c>
      <c r="B5" s="323" t="s">
        <v>2</v>
      </c>
      <c r="C5" s="323" t="s">
        <v>426</v>
      </c>
      <c r="D5" s="323" t="s">
        <v>315</v>
      </c>
      <c r="E5" s="323" t="s">
        <v>0</v>
      </c>
      <c r="F5" s="324" t="s">
        <v>19</v>
      </c>
      <c r="G5" s="323" t="s">
        <v>20</v>
      </c>
    </row>
    <row r="6" spans="1:7" ht="15.75" customHeight="1">
      <c r="A6" s="127" t="s">
        <v>778</v>
      </c>
      <c r="B6" s="131" t="s">
        <v>590</v>
      </c>
      <c r="C6" s="142">
        <f>'无形-土地'!L27</f>
        <v>0</v>
      </c>
      <c r="D6" s="142">
        <f>'无形-土地'!N27</f>
        <v>0</v>
      </c>
      <c r="E6" s="142">
        <f>'无形-土地'!O27</f>
        <v>0</v>
      </c>
      <c r="F6" s="142">
        <f>E6-D6</f>
        <v>0</v>
      </c>
      <c r="G6" s="155" t="str">
        <f>IF(D6=0,"",F6/D6*100)</f>
        <v/>
      </c>
    </row>
    <row r="7" spans="1:7" ht="15.75" customHeight="1">
      <c r="A7" s="127" t="s">
        <v>779</v>
      </c>
      <c r="B7" s="318" t="s">
        <v>808</v>
      </c>
      <c r="C7" s="142">
        <f>'无形-矿业权'!J27</f>
        <v>0</v>
      </c>
      <c r="D7" s="142">
        <f>'无形-矿业权'!L27</f>
        <v>0</v>
      </c>
      <c r="E7" s="142">
        <f>'无形-矿业权'!M27</f>
        <v>0</v>
      </c>
      <c r="F7" s="142"/>
      <c r="G7" s="155"/>
    </row>
    <row r="8" spans="1:7" ht="15.75" customHeight="1">
      <c r="A8" s="127" t="s">
        <v>780</v>
      </c>
      <c r="B8" s="131" t="s">
        <v>591</v>
      </c>
      <c r="C8" s="142">
        <f>'无形-其他'!F27</f>
        <v>0</v>
      </c>
      <c r="D8" s="142">
        <f>'无形-其他'!H27</f>
        <v>0</v>
      </c>
      <c r="E8" s="142">
        <f>'无形-其他'!J27</f>
        <v>0</v>
      </c>
      <c r="F8" s="142">
        <f>E8-D8</f>
        <v>0</v>
      </c>
      <c r="G8" s="155" t="str">
        <f>IF(D8=0,"",F8/D8*100)</f>
        <v/>
      </c>
    </row>
    <row r="9" spans="1:7" ht="15.75" customHeight="1">
      <c r="A9" s="127"/>
      <c r="B9" s="131"/>
      <c r="C9" s="142"/>
      <c r="D9" s="142"/>
      <c r="E9" s="142"/>
      <c r="F9" s="142"/>
      <c r="G9" s="155"/>
    </row>
    <row r="10" spans="1:7" ht="15.75" customHeight="1">
      <c r="A10" s="127"/>
      <c r="B10" s="131"/>
      <c r="C10" s="142"/>
      <c r="D10" s="142"/>
      <c r="E10" s="142"/>
      <c r="F10" s="142"/>
      <c r="G10" s="155"/>
    </row>
    <row r="11" spans="1:7" ht="15.75" customHeight="1">
      <c r="A11" s="127"/>
      <c r="B11" s="131"/>
      <c r="C11" s="142"/>
      <c r="D11" s="142"/>
      <c r="E11" s="142"/>
      <c r="F11" s="142"/>
      <c r="G11" s="155"/>
    </row>
    <row r="12" spans="1:7" ht="15.75" customHeight="1">
      <c r="A12" s="127"/>
      <c r="B12" s="131"/>
      <c r="C12" s="142"/>
      <c r="D12" s="142"/>
      <c r="E12" s="142"/>
      <c r="F12" s="142"/>
      <c r="G12" s="155"/>
    </row>
    <row r="13" spans="1:7" ht="15.75" customHeight="1">
      <c r="A13" s="127"/>
      <c r="B13" s="131"/>
      <c r="C13" s="142"/>
      <c r="D13" s="142"/>
      <c r="E13" s="142"/>
      <c r="F13" s="142"/>
      <c r="G13" s="155"/>
    </row>
    <row r="14" spans="1:7" ht="15.75" customHeight="1">
      <c r="A14" s="127"/>
      <c r="B14" s="131"/>
      <c r="C14" s="142"/>
      <c r="D14" s="142"/>
      <c r="E14" s="142"/>
      <c r="F14" s="142"/>
      <c r="G14" s="155"/>
    </row>
    <row r="15" spans="1:7" ht="15.75" customHeight="1">
      <c r="A15" s="127"/>
      <c r="B15" s="131"/>
      <c r="C15" s="142"/>
      <c r="D15" s="142"/>
      <c r="E15" s="142"/>
      <c r="F15" s="142"/>
      <c r="G15" s="155"/>
    </row>
    <row r="16" spans="1:7" ht="15.75" customHeight="1">
      <c r="A16" s="127"/>
      <c r="B16" s="131"/>
      <c r="C16" s="142"/>
      <c r="D16" s="142"/>
      <c r="E16" s="142"/>
      <c r="F16" s="142"/>
      <c r="G16" s="155"/>
    </row>
    <row r="17" spans="1:7" ht="15.75" customHeight="1">
      <c r="A17" s="127"/>
      <c r="B17" s="131"/>
      <c r="C17" s="142"/>
      <c r="D17" s="142"/>
      <c r="E17" s="142"/>
      <c r="F17" s="142"/>
      <c r="G17" s="155"/>
    </row>
    <row r="18" spans="1:7" ht="15.75" customHeight="1">
      <c r="A18" s="127"/>
      <c r="B18" s="131"/>
      <c r="C18" s="142"/>
      <c r="D18" s="142"/>
      <c r="E18" s="142"/>
      <c r="F18" s="142"/>
      <c r="G18" s="155"/>
    </row>
    <row r="19" spans="1:7" ht="15.75" customHeight="1">
      <c r="A19" s="127"/>
      <c r="B19" s="131"/>
      <c r="C19" s="142"/>
      <c r="D19" s="142"/>
      <c r="E19" s="142"/>
      <c r="F19" s="142"/>
      <c r="G19" s="155"/>
    </row>
    <row r="20" spans="1:7" ht="15.75" customHeight="1">
      <c r="A20" s="127"/>
      <c r="B20" s="131"/>
      <c r="C20" s="142"/>
      <c r="D20" s="142"/>
      <c r="E20" s="142"/>
      <c r="F20" s="142"/>
      <c r="G20" s="155"/>
    </row>
    <row r="21" spans="1:7" ht="15.75" customHeight="1">
      <c r="A21" s="127"/>
      <c r="B21" s="131"/>
      <c r="C21" s="142"/>
      <c r="D21" s="142"/>
      <c r="E21" s="142"/>
      <c r="F21" s="142"/>
      <c r="G21" s="155"/>
    </row>
    <row r="22" spans="1:7" ht="15.75" customHeight="1">
      <c r="A22" s="127"/>
      <c r="B22" s="131"/>
      <c r="C22" s="142"/>
      <c r="D22" s="142"/>
      <c r="E22" s="142"/>
      <c r="F22" s="142"/>
      <c r="G22" s="155"/>
    </row>
    <row r="23" spans="1:7" ht="15.75" customHeight="1">
      <c r="A23" s="127"/>
      <c r="B23" s="131"/>
      <c r="C23" s="142"/>
      <c r="D23" s="142"/>
      <c r="E23" s="142"/>
      <c r="F23" s="142"/>
      <c r="G23" s="155"/>
    </row>
    <row r="24" spans="1:7" ht="15.75" customHeight="1">
      <c r="A24" s="994" t="s">
        <v>587</v>
      </c>
      <c r="B24" s="995"/>
      <c r="C24" s="142">
        <f>SUM(C6:C8)</f>
        <v>0</v>
      </c>
      <c r="D24" s="142">
        <f>SUM(D6:D8)</f>
        <v>0</v>
      </c>
      <c r="E24" s="142">
        <f>SUM(E6:E8)</f>
        <v>0</v>
      </c>
      <c r="F24" s="142">
        <f>SUM(F6:F8)</f>
        <v>0</v>
      </c>
      <c r="G24" s="155" t="str">
        <f>IF(D24=0,"",F24/D24*100)</f>
        <v/>
      </c>
    </row>
    <row r="25" spans="1:7" ht="15.75" customHeight="1">
      <c r="A25" s="994" t="s">
        <v>588</v>
      </c>
      <c r="B25" s="995"/>
      <c r="C25" s="142"/>
      <c r="D25" s="142">
        <f>C25</f>
        <v>0</v>
      </c>
      <c r="E25" s="142">
        <v>0</v>
      </c>
      <c r="F25" s="142">
        <f>E25-D25</f>
        <v>0</v>
      </c>
      <c r="G25" s="155" t="str">
        <f>IF(D25=0,"",F25/D25*100)</f>
        <v/>
      </c>
    </row>
    <row r="26" spans="1:7" ht="15.75" customHeight="1">
      <c r="A26" s="127" t="s">
        <v>589</v>
      </c>
      <c r="B26" s="127" t="s">
        <v>562</v>
      </c>
      <c r="C26" s="142">
        <f>C24-C25</f>
        <v>0</v>
      </c>
      <c r="D26" s="142">
        <f>D24-D25</f>
        <v>0</v>
      </c>
      <c r="E26" s="142">
        <f>E24-E25</f>
        <v>0</v>
      </c>
      <c r="F26" s="142">
        <f>E26-D26</f>
        <v>0</v>
      </c>
      <c r="G26" s="155" t="str">
        <f>IF(D26=0,"",F26/D26*100)</f>
        <v/>
      </c>
    </row>
    <row r="27" spans="1:7" ht="15.75" customHeight="1">
      <c r="A27" s="101" t="e">
        <f>#REF!&amp;#REF!</f>
        <v>#REF!</v>
      </c>
      <c r="E27" s="4" t="e">
        <f>"评估人员："&amp;#REF!&amp;"  "&amp;#REF!</f>
        <v>#REF!</v>
      </c>
    </row>
    <row r="28" spans="1:7" ht="15.75" customHeight="1">
      <c r="A28" s="101" t="e">
        <f>CONCATENATE(#REF!,#REF!,#REF!,#REF!,#REF!,#REF!,#REF!)</f>
        <v>#REF!</v>
      </c>
    </row>
  </sheetData>
  <mergeCells count="4">
    <mergeCell ref="A2:G2"/>
    <mergeCell ref="A3:G3"/>
    <mergeCell ref="A24:B24"/>
    <mergeCell ref="A25:B25"/>
  </mergeCells>
  <phoneticPr fontId="6" type="noConversion"/>
  <hyperlinks>
    <hyperlink ref="A1" location="索引目录!C48" display="无形资产"/>
    <hyperlink ref="B6" location="'无形-土地'!B1" display="返回"/>
    <hyperlink ref="B8" location="'无形-其他'!B1" display="返回"/>
    <hyperlink ref="B1" location="分类汇总!B31" display="无形资产"/>
  </hyperlinks>
  <printOptions horizontalCentered="1"/>
  <pageMargins left="0.35433070866141736" right="0.35433070866141736" top="0.78740157480314965" bottom="0.78740157480314965" header="1.06" footer="0.51181102362204722"/>
  <pageSetup paperSize="9" scale="92" fitToHeight="0" orientation="landscape" horizontalDpi="4294967292" r:id="rId1"/>
  <headerFooter alignWithMargins="0">
    <oddHeader>&amp;R&amp;"宋体,常规"&amp;10表&amp;"Times New Roman,常规"4-12
&amp;"宋体,常规"共&amp;"Times New Roman,常规"&amp;N&amp;"宋体,常规"页第&amp;"Times New Roman,常规"&amp;P&amp;"宋体,常规"页</oddHeader>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3">
    <pageSetUpPr fitToPage="1"/>
  </sheetPr>
  <dimension ref="A1:T29"/>
  <sheetViews>
    <sheetView topLeftCell="E1" workbookViewId="0">
      <selection activeCell="H10" sqref="H10"/>
    </sheetView>
  </sheetViews>
  <sheetFormatPr defaultRowHeight="15.75" customHeight="1" outlineLevelCol="1"/>
  <cols>
    <col min="1" max="1" width="4.875" style="4" customWidth="1"/>
    <col min="2" max="2" width="6.875" style="4" customWidth="1"/>
    <col min="3" max="3" width="9.625" style="4" customWidth="1"/>
    <col min="4" max="4" width="10.5" style="4" customWidth="1"/>
    <col min="5" max="7" width="5.375" style="4" customWidth="1"/>
    <col min="8" max="8" width="7.625" style="4" customWidth="1"/>
    <col min="9" max="9" width="5.125" style="4" customWidth="1"/>
    <col min="10" max="10" width="8" style="4" customWidth="1"/>
    <col min="11" max="11" width="12.5" style="4" customWidth="1"/>
    <col min="12" max="13" width="13" style="4" customWidth="1" outlineLevel="1"/>
    <col min="14" max="16" width="13" style="4" customWidth="1"/>
    <col min="17" max="17" width="5.875" style="4" customWidth="1"/>
    <col min="18" max="18" width="6.25" style="4" customWidth="1"/>
    <col min="19" max="19" width="13.125" style="4" customWidth="1" outlineLevel="1"/>
    <col min="20" max="16384" width="9" style="4"/>
  </cols>
  <sheetData>
    <row r="1" spans="1:20" ht="12.75">
      <c r="A1" s="195" t="s">
        <v>130</v>
      </c>
      <c r="B1" s="196" t="s">
        <v>131</v>
      </c>
      <c r="C1" s="1"/>
      <c r="D1" s="1"/>
      <c r="E1" s="1"/>
      <c r="F1" s="1"/>
      <c r="G1" s="1"/>
      <c r="H1" s="1"/>
      <c r="I1" s="1"/>
      <c r="J1" s="1"/>
      <c r="K1" s="1"/>
      <c r="L1" s="1"/>
      <c r="M1" s="1"/>
      <c r="N1" s="1"/>
      <c r="O1" s="1"/>
      <c r="P1" s="1"/>
      <c r="Q1" s="1"/>
      <c r="R1" s="1"/>
    </row>
    <row r="2" spans="1:20" s="114" customFormat="1" ht="30" customHeight="1">
      <c r="A2" s="790" t="s">
        <v>870</v>
      </c>
      <c r="B2" s="791"/>
      <c r="C2" s="791"/>
      <c r="D2" s="791"/>
      <c r="E2" s="791"/>
      <c r="F2" s="791"/>
      <c r="G2" s="791"/>
      <c r="H2" s="791"/>
      <c r="I2" s="791"/>
      <c r="J2" s="791"/>
      <c r="K2" s="791"/>
      <c r="L2" s="791"/>
      <c r="M2" s="791"/>
      <c r="N2" s="791"/>
      <c r="O2" s="791"/>
      <c r="P2" s="791"/>
      <c r="Q2" s="791"/>
      <c r="R2" s="791"/>
    </row>
    <row r="3" spans="1:20" ht="14.1" customHeight="1">
      <c r="A3" s="792" t="e">
        <f>CONCATENATE(#REF!,#REF!,#REF!,#REF!,#REF!,#REF!,#REF!)</f>
        <v>#REF!</v>
      </c>
      <c r="B3" s="792"/>
      <c r="C3" s="792"/>
      <c r="D3" s="792"/>
      <c r="E3" s="792"/>
      <c r="F3" s="792"/>
      <c r="G3" s="792"/>
      <c r="H3" s="792"/>
      <c r="I3" s="792"/>
      <c r="J3" s="808"/>
      <c r="K3" s="808"/>
      <c r="L3" s="808"/>
      <c r="M3" s="808"/>
      <c r="N3" s="808"/>
      <c r="O3" s="808"/>
      <c r="P3" s="808"/>
      <c r="Q3" s="808"/>
      <c r="R3" s="808"/>
    </row>
    <row r="4" spans="1:20" ht="15.75" customHeight="1">
      <c r="A4" s="115" t="e">
        <f>#REF!&amp;#REF!</f>
        <v>#REF!</v>
      </c>
      <c r="R4" s="106" t="s">
        <v>3</v>
      </c>
    </row>
    <row r="5" spans="1:20" s="1" customFormat="1" ht="27.75" customHeight="1">
      <c r="A5" s="2" t="s">
        <v>4</v>
      </c>
      <c r="B5" s="2" t="s">
        <v>244</v>
      </c>
      <c r="C5" s="202" t="s">
        <v>83</v>
      </c>
      <c r="D5" s="2" t="s">
        <v>245</v>
      </c>
      <c r="E5" s="2" t="s">
        <v>242</v>
      </c>
      <c r="F5" s="2" t="s">
        <v>246</v>
      </c>
      <c r="G5" s="2" t="s">
        <v>936</v>
      </c>
      <c r="H5" s="2" t="s">
        <v>935</v>
      </c>
      <c r="I5" s="2" t="s">
        <v>248</v>
      </c>
      <c r="J5" s="2" t="s">
        <v>249</v>
      </c>
      <c r="K5" s="2" t="s">
        <v>341</v>
      </c>
      <c r="L5" s="2" t="s">
        <v>426</v>
      </c>
      <c r="M5" s="2" t="s">
        <v>710</v>
      </c>
      <c r="N5" s="2" t="s">
        <v>315</v>
      </c>
      <c r="O5" s="2" t="s">
        <v>0</v>
      </c>
      <c r="P5" s="2" t="s">
        <v>1</v>
      </c>
      <c r="Q5" s="2" t="s">
        <v>20</v>
      </c>
      <c r="R5" s="2" t="s">
        <v>72</v>
      </c>
      <c r="S5" s="389" t="s">
        <v>423</v>
      </c>
      <c r="T5" s="390" t="s">
        <v>948</v>
      </c>
    </row>
    <row r="6" spans="1:20" ht="15.75" customHeight="1">
      <c r="A6" s="105"/>
      <c r="B6" s="105"/>
      <c r="C6" s="201"/>
      <c r="D6" s="128"/>
      <c r="E6" s="121"/>
      <c r="F6" s="105"/>
      <c r="G6" s="105"/>
      <c r="H6" s="105"/>
      <c r="I6" s="105"/>
      <c r="J6" s="142"/>
      <c r="K6" s="142"/>
      <c r="L6" s="142"/>
      <c r="M6" s="142"/>
      <c r="N6" s="142"/>
      <c r="O6" s="142"/>
      <c r="P6" s="142"/>
      <c r="Q6" s="142" t="str">
        <f t="shared" ref="Q6:Q25" si="0">IF(N6=0,"",(O6-N6)/N6*100)</f>
        <v/>
      </c>
      <c r="R6" s="120"/>
      <c r="S6" s="120"/>
    </row>
    <row r="7" spans="1:20" ht="15.75" customHeight="1">
      <c r="A7" s="105"/>
      <c r="B7" s="105"/>
      <c r="C7" s="201"/>
      <c r="D7" s="128"/>
      <c r="E7" s="121"/>
      <c r="F7" s="105"/>
      <c r="G7" s="105"/>
      <c r="H7" s="105"/>
      <c r="I7" s="105"/>
      <c r="J7" s="142"/>
      <c r="K7" s="142"/>
      <c r="L7" s="142"/>
      <c r="M7" s="142"/>
      <c r="N7" s="142"/>
      <c r="O7" s="142"/>
      <c r="P7" s="142"/>
      <c r="Q7" s="142" t="str">
        <f t="shared" si="0"/>
        <v/>
      </c>
      <c r="R7" s="120"/>
      <c r="S7" s="120"/>
    </row>
    <row r="8" spans="1:20" ht="15.75" customHeight="1">
      <c r="A8" s="105"/>
      <c r="B8" s="105"/>
      <c r="C8" s="201"/>
      <c r="D8" s="128"/>
      <c r="E8" s="121"/>
      <c r="F8" s="105"/>
      <c r="G8" s="105"/>
      <c r="H8" s="105"/>
      <c r="I8" s="105"/>
      <c r="J8" s="142"/>
      <c r="K8" s="142"/>
      <c r="L8" s="142"/>
      <c r="M8" s="142"/>
      <c r="N8" s="142"/>
      <c r="O8" s="142"/>
      <c r="P8" s="142"/>
      <c r="Q8" s="142" t="str">
        <f t="shared" si="0"/>
        <v/>
      </c>
      <c r="R8" s="120"/>
      <c r="S8" s="120"/>
    </row>
    <row r="9" spans="1:20" ht="15.75" customHeight="1">
      <c r="A9" s="105"/>
      <c r="B9" s="105"/>
      <c r="C9" s="201"/>
      <c r="D9" s="128"/>
      <c r="E9" s="121"/>
      <c r="F9" s="105"/>
      <c r="G9" s="105"/>
      <c r="H9" s="105"/>
      <c r="I9" s="105"/>
      <c r="J9" s="142"/>
      <c r="K9" s="142"/>
      <c r="L9" s="142"/>
      <c r="M9" s="142"/>
      <c r="N9" s="142"/>
      <c r="O9" s="142"/>
      <c r="P9" s="142"/>
      <c r="Q9" s="142" t="str">
        <f t="shared" si="0"/>
        <v/>
      </c>
      <c r="R9" s="120"/>
      <c r="S9" s="120"/>
    </row>
    <row r="10" spans="1:20" ht="15.75" customHeight="1">
      <c r="A10" s="105"/>
      <c r="B10" s="105"/>
      <c r="C10" s="201"/>
      <c r="D10" s="128"/>
      <c r="E10" s="121"/>
      <c r="F10" s="105"/>
      <c r="G10" s="105"/>
      <c r="H10" s="105"/>
      <c r="I10" s="105"/>
      <c r="J10" s="142"/>
      <c r="K10" s="142"/>
      <c r="L10" s="142"/>
      <c r="M10" s="142"/>
      <c r="N10" s="142"/>
      <c r="O10" s="142"/>
      <c r="P10" s="142"/>
      <c r="Q10" s="142" t="str">
        <f t="shared" si="0"/>
        <v/>
      </c>
      <c r="R10" s="120"/>
      <c r="S10" s="120"/>
    </row>
    <row r="11" spans="1:20" ht="15.75" customHeight="1">
      <c r="A11" s="105"/>
      <c r="B11" s="105"/>
      <c r="C11" s="201"/>
      <c r="D11" s="128"/>
      <c r="E11" s="121"/>
      <c r="F11" s="105"/>
      <c r="G11" s="105"/>
      <c r="H11" s="105"/>
      <c r="I11" s="105"/>
      <c r="J11" s="142"/>
      <c r="K11" s="142"/>
      <c r="L11" s="142"/>
      <c r="M11" s="142"/>
      <c r="N11" s="142"/>
      <c r="O11" s="142"/>
      <c r="P11" s="142"/>
      <c r="Q11" s="142" t="str">
        <f t="shared" si="0"/>
        <v/>
      </c>
      <c r="R11" s="120"/>
      <c r="S11" s="120"/>
    </row>
    <row r="12" spans="1:20" ht="15.75" customHeight="1">
      <c r="A12" s="105"/>
      <c r="B12" s="105"/>
      <c r="C12" s="201"/>
      <c r="D12" s="128"/>
      <c r="E12" s="121"/>
      <c r="F12" s="105"/>
      <c r="G12" s="105"/>
      <c r="H12" s="105"/>
      <c r="I12" s="105"/>
      <c r="J12" s="142"/>
      <c r="K12" s="142"/>
      <c r="L12" s="142"/>
      <c r="M12" s="142"/>
      <c r="N12" s="142"/>
      <c r="O12" s="142"/>
      <c r="P12" s="142"/>
      <c r="Q12" s="142" t="str">
        <f t="shared" si="0"/>
        <v/>
      </c>
      <c r="R12" s="120"/>
      <c r="S12" s="120"/>
    </row>
    <row r="13" spans="1:20" ht="15.75" customHeight="1">
      <c r="A13" s="105"/>
      <c r="B13" s="105"/>
      <c r="C13" s="201"/>
      <c r="D13" s="128"/>
      <c r="E13" s="121"/>
      <c r="F13" s="105"/>
      <c r="G13" s="105"/>
      <c r="H13" s="105"/>
      <c r="I13" s="105"/>
      <c r="J13" s="142"/>
      <c r="K13" s="142"/>
      <c r="L13" s="142"/>
      <c r="M13" s="142"/>
      <c r="N13" s="142"/>
      <c r="O13" s="142"/>
      <c r="P13" s="142"/>
      <c r="Q13" s="142" t="str">
        <f t="shared" si="0"/>
        <v/>
      </c>
      <c r="R13" s="120"/>
      <c r="S13" s="120"/>
    </row>
    <row r="14" spans="1:20" ht="15.75" customHeight="1">
      <c r="A14" s="105"/>
      <c r="B14" s="105"/>
      <c r="C14" s="201"/>
      <c r="D14" s="128"/>
      <c r="E14" s="121"/>
      <c r="F14" s="105"/>
      <c r="G14" s="105"/>
      <c r="H14" s="105"/>
      <c r="I14" s="105"/>
      <c r="J14" s="142"/>
      <c r="K14" s="142"/>
      <c r="L14" s="142"/>
      <c r="M14" s="142"/>
      <c r="N14" s="142"/>
      <c r="O14" s="142"/>
      <c r="P14" s="142"/>
      <c r="Q14" s="142" t="str">
        <f t="shared" si="0"/>
        <v/>
      </c>
      <c r="R14" s="120"/>
      <c r="S14" s="120"/>
    </row>
    <row r="15" spans="1:20" ht="15.75" customHeight="1">
      <c r="A15" s="105"/>
      <c r="B15" s="105"/>
      <c r="C15" s="201"/>
      <c r="D15" s="128"/>
      <c r="E15" s="121"/>
      <c r="F15" s="105"/>
      <c r="G15" s="105"/>
      <c r="H15" s="105"/>
      <c r="I15" s="105"/>
      <c r="J15" s="142"/>
      <c r="K15" s="142"/>
      <c r="L15" s="142"/>
      <c r="M15" s="142"/>
      <c r="N15" s="142"/>
      <c r="O15" s="142"/>
      <c r="P15" s="142"/>
      <c r="Q15" s="142" t="str">
        <f t="shared" si="0"/>
        <v/>
      </c>
      <c r="R15" s="120"/>
      <c r="S15" s="120"/>
    </row>
    <row r="16" spans="1:20" ht="15.75" customHeight="1">
      <c r="A16" s="105"/>
      <c r="B16" s="105"/>
      <c r="C16" s="201"/>
      <c r="D16" s="128"/>
      <c r="E16" s="121"/>
      <c r="F16" s="105"/>
      <c r="G16" s="105"/>
      <c r="H16" s="105"/>
      <c r="I16" s="105"/>
      <c r="J16" s="142"/>
      <c r="K16" s="142"/>
      <c r="L16" s="142"/>
      <c r="M16" s="142"/>
      <c r="N16" s="142"/>
      <c r="O16" s="142"/>
      <c r="P16" s="142"/>
      <c r="Q16" s="142" t="str">
        <f t="shared" si="0"/>
        <v/>
      </c>
      <c r="R16" s="120"/>
      <c r="S16" s="120"/>
    </row>
    <row r="17" spans="1:19" ht="15.75" customHeight="1">
      <c r="A17" s="105"/>
      <c r="B17" s="105"/>
      <c r="C17" s="201"/>
      <c r="D17" s="128"/>
      <c r="E17" s="121"/>
      <c r="F17" s="105"/>
      <c r="G17" s="105"/>
      <c r="H17" s="105"/>
      <c r="I17" s="105"/>
      <c r="J17" s="142"/>
      <c r="K17" s="142"/>
      <c r="L17" s="142"/>
      <c r="M17" s="142"/>
      <c r="N17" s="142"/>
      <c r="O17" s="142"/>
      <c r="P17" s="142"/>
      <c r="Q17" s="142" t="str">
        <f t="shared" si="0"/>
        <v/>
      </c>
      <c r="R17" s="120"/>
      <c r="S17" s="120"/>
    </row>
    <row r="18" spans="1:19" ht="15.75" customHeight="1">
      <c r="A18" s="105"/>
      <c r="B18" s="105"/>
      <c r="C18" s="201"/>
      <c r="D18" s="128"/>
      <c r="E18" s="121"/>
      <c r="F18" s="105"/>
      <c r="G18" s="105"/>
      <c r="H18" s="105"/>
      <c r="I18" s="105"/>
      <c r="J18" s="142"/>
      <c r="K18" s="142"/>
      <c r="L18" s="142"/>
      <c r="M18" s="142"/>
      <c r="N18" s="142"/>
      <c r="O18" s="142"/>
      <c r="P18" s="142"/>
      <c r="Q18" s="142" t="str">
        <f t="shared" si="0"/>
        <v/>
      </c>
      <c r="R18" s="120"/>
      <c r="S18" s="120"/>
    </row>
    <row r="19" spans="1:19" ht="15.75" customHeight="1">
      <c r="A19" s="105"/>
      <c r="B19" s="105"/>
      <c r="C19" s="201"/>
      <c r="D19" s="128"/>
      <c r="E19" s="121"/>
      <c r="F19" s="105"/>
      <c r="G19" s="105"/>
      <c r="H19" s="105"/>
      <c r="I19" s="105"/>
      <c r="J19" s="142"/>
      <c r="K19" s="142"/>
      <c r="L19" s="142"/>
      <c r="M19" s="142"/>
      <c r="N19" s="142"/>
      <c r="O19" s="142"/>
      <c r="P19" s="142"/>
      <c r="Q19" s="142" t="str">
        <f t="shared" si="0"/>
        <v/>
      </c>
      <c r="R19" s="120"/>
      <c r="S19" s="120"/>
    </row>
    <row r="20" spans="1:19" ht="15.75" customHeight="1">
      <c r="A20" s="105"/>
      <c r="B20" s="105"/>
      <c r="C20" s="201"/>
      <c r="D20" s="128"/>
      <c r="E20" s="121"/>
      <c r="F20" s="105"/>
      <c r="G20" s="105"/>
      <c r="H20" s="105"/>
      <c r="I20" s="105"/>
      <c r="J20" s="142"/>
      <c r="K20" s="142"/>
      <c r="L20" s="142"/>
      <c r="M20" s="142"/>
      <c r="N20" s="142"/>
      <c r="O20" s="142"/>
      <c r="P20" s="142"/>
      <c r="Q20" s="142" t="str">
        <f t="shared" si="0"/>
        <v/>
      </c>
      <c r="R20" s="120"/>
      <c r="S20" s="120"/>
    </row>
    <row r="21" spans="1:19" ht="15.75" customHeight="1">
      <c r="A21" s="105"/>
      <c r="B21" s="105"/>
      <c r="C21" s="201"/>
      <c r="D21" s="128"/>
      <c r="E21" s="121"/>
      <c r="F21" s="105"/>
      <c r="G21" s="105"/>
      <c r="H21" s="105"/>
      <c r="I21" s="105"/>
      <c r="J21" s="142"/>
      <c r="K21" s="142"/>
      <c r="L21" s="142"/>
      <c r="M21" s="142"/>
      <c r="N21" s="142"/>
      <c r="O21" s="142"/>
      <c r="P21" s="142"/>
      <c r="Q21" s="142" t="str">
        <f t="shared" si="0"/>
        <v/>
      </c>
      <c r="R21" s="120"/>
      <c r="S21" s="120"/>
    </row>
    <row r="22" spans="1:19" ht="15.75" customHeight="1">
      <c r="A22" s="105"/>
      <c r="B22" s="105"/>
      <c r="C22" s="201"/>
      <c r="D22" s="128"/>
      <c r="E22" s="121"/>
      <c r="F22" s="105"/>
      <c r="G22" s="105"/>
      <c r="H22" s="105"/>
      <c r="I22" s="105"/>
      <c r="J22" s="142"/>
      <c r="K22" s="142"/>
      <c r="L22" s="142"/>
      <c r="M22" s="142"/>
      <c r="N22" s="142"/>
      <c r="O22" s="142"/>
      <c r="P22" s="142"/>
      <c r="Q22" s="142" t="str">
        <f t="shared" si="0"/>
        <v/>
      </c>
      <c r="R22" s="120"/>
      <c r="S22" s="120"/>
    </row>
    <row r="23" spans="1:19" ht="15.75" customHeight="1">
      <c r="A23" s="105"/>
      <c r="B23" s="105"/>
      <c r="C23" s="201"/>
      <c r="D23" s="128"/>
      <c r="E23" s="121"/>
      <c r="F23" s="105"/>
      <c r="G23" s="105"/>
      <c r="H23" s="105"/>
      <c r="I23" s="105"/>
      <c r="J23" s="142"/>
      <c r="K23" s="142"/>
      <c r="L23" s="142"/>
      <c r="M23" s="142"/>
      <c r="N23" s="142"/>
      <c r="O23" s="142"/>
      <c r="P23" s="142"/>
      <c r="Q23" s="142" t="str">
        <f t="shared" si="0"/>
        <v/>
      </c>
      <c r="R23" s="120"/>
      <c r="S23" s="120"/>
    </row>
    <row r="24" spans="1:19" ht="15.75" customHeight="1">
      <c r="A24" s="105"/>
      <c r="B24" s="105"/>
      <c r="C24" s="201"/>
      <c r="D24" s="128"/>
      <c r="E24" s="121"/>
      <c r="F24" s="105"/>
      <c r="G24" s="105"/>
      <c r="H24" s="105"/>
      <c r="I24" s="105"/>
      <c r="J24" s="142"/>
      <c r="K24" s="142"/>
      <c r="L24" s="142"/>
      <c r="M24" s="142"/>
      <c r="N24" s="142"/>
      <c r="O24" s="142"/>
      <c r="P24" s="142"/>
      <c r="Q24" s="142" t="str">
        <f t="shared" si="0"/>
        <v/>
      </c>
      <c r="R24" s="120"/>
      <c r="S24" s="120"/>
    </row>
    <row r="25" spans="1:19" ht="15.75" customHeight="1">
      <c r="A25" s="105"/>
      <c r="B25" s="105"/>
      <c r="C25" s="201"/>
      <c r="D25" s="128"/>
      <c r="E25" s="121"/>
      <c r="F25" s="105"/>
      <c r="G25" s="105"/>
      <c r="H25" s="105"/>
      <c r="I25" s="105"/>
      <c r="J25" s="142"/>
      <c r="K25" s="142"/>
      <c r="L25" s="142"/>
      <c r="M25" s="142"/>
      <c r="N25" s="142"/>
      <c r="O25" s="142"/>
      <c r="P25" s="142"/>
      <c r="Q25" s="142" t="str">
        <f t="shared" si="0"/>
        <v/>
      </c>
      <c r="R25" s="120"/>
      <c r="S25" s="120"/>
    </row>
    <row r="26" spans="1:19" ht="15.75" customHeight="1">
      <c r="A26" s="105"/>
      <c r="B26" s="105"/>
      <c r="C26" s="201"/>
      <c r="D26" s="128"/>
      <c r="E26" s="121"/>
      <c r="F26" s="105"/>
      <c r="G26" s="105"/>
      <c r="H26" s="105"/>
      <c r="I26" s="105"/>
      <c r="J26" s="142"/>
      <c r="K26" s="142"/>
      <c r="L26" s="142"/>
      <c r="M26" s="142"/>
      <c r="N26" s="142"/>
      <c r="O26" s="142"/>
      <c r="P26" s="142"/>
      <c r="Q26" s="142"/>
      <c r="R26" s="120"/>
      <c r="S26" s="120"/>
    </row>
    <row r="27" spans="1:19" ht="15.75" customHeight="1">
      <c r="A27" s="809" t="s">
        <v>36</v>
      </c>
      <c r="B27" s="909"/>
      <c r="C27" s="909"/>
      <c r="D27" s="810"/>
      <c r="E27" s="121"/>
      <c r="F27" s="105"/>
      <c r="G27" s="105"/>
      <c r="H27" s="105"/>
      <c r="I27" s="105"/>
      <c r="J27" s="142"/>
      <c r="K27" s="142">
        <f>SUM(K6:K26)</f>
        <v>0</v>
      </c>
      <c r="L27" s="142">
        <f>SUM(L6:L26)</f>
        <v>0</v>
      </c>
      <c r="M27" s="142"/>
      <c r="N27" s="142">
        <f>SUM(N6:N26)</f>
        <v>0</v>
      </c>
      <c r="O27" s="142">
        <f>SUM(O6:O26)</f>
        <v>0</v>
      </c>
      <c r="P27" s="142"/>
      <c r="Q27" s="142" t="str">
        <f>IF(N27=0,"",(O27-N27)/N27*100)</f>
        <v/>
      </c>
      <c r="R27" s="120"/>
      <c r="S27" s="120"/>
    </row>
    <row r="28" spans="1:19" ht="15.75" customHeight="1">
      <c r="A28" s="101" t="e">
        <f>#REF!&amp;#REF!</f>
        <v>#REF!</v>
      </c>
      <c r="H28" s="115"/>
      <c r="N28" s="129" t="e">
        <f>"评估人员："&amp;#REF!</f>
        <v>#REF!</v>
      </c>
    </row>
    <row r="29" spans="1:19" ht="15.75" customHeight="1">
      <c r="A29" s="101" t="e">
        <f>CONCATENATE(#REF!,#REF!,#REF!,#REF!,#REF!,#REF!,#REF!)</f>
        <v>#REF!</v>
      </c>
    </row>
  </sheetData>
  <mergeCells count="3">
    <mergeCell ref="A2:R2"/>
    <mergeCell ref="A3:R3"/>
    <mergeCell ref="A27:D27"/>
  </mergeCells>
  <phoneticPr fontId="6" type="noConversion"/>
  <hyperlinks>
    <hyperlink ref="A1" location="索引目录!C28" display="土地使用权"/>
    <hyperlink ref="B1" location="无形资产汇总!B6" display="无形资产-土地使用权"/>
  </hyperlinks>
  <printOptions horizontalCentered="1"/>
  <pageMargins left="0.35433070866141736" right="0.35433070866141736" top="0.78740157480314965" bottom="0.78740157480314965" header="1.03" footer="0.51181102362204722"/>
  <pageSetup paperSize="9" scale="83" fitToHeight="0" orientation="landscape" horizontalDpi="4294967292" r:id="rId1"/>
  <headerFooter alignWithMargins="0">
    <oddHeader>&amp;R&amp;"宋体,常规"&amp;10表&amp;"Times New Roman,常规"4-12-1
&amp;"宋体,常规"共&amp;"Times New Roman,常规"&amp;N&amp;"宋体,常规"页第&amp;"Times New Roman,常规"&amp;P&amp;"宋体,常规"页</oddHeader>
  </headerFooter>
  <legacy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6" enableFormatConditionsCalculation="0">
    <tabColor indexed="10"/>
    <pageSetUpPr fitToPage="1"/>
  </sheetPr>
  <dimension ref="A1:P29"/>
  <sheetViews>
    <sheetView workbookViewId="0">
      <selection activeCell="H10" sqref="H10"/>
    </sheetView>
  </sheetViews>
  <sheetFormatPr defaultRowHeight="15.75" outlineLevelCol="1"/>
  <cols>
    <col min="1" max="1" width="4" style="312" customWidth="1"/>
    <col min="2" max="2" width="14.75" style="312" customWidth="1"/>
    <col min="3" max="3" width="10.625" style="312" customWidth="1"/>
    <col min="4" max="4" width="5.375" style="312" customWidth="1"/>
    <col min="5" max="5" width="8.5" style="312" customWidth="1"/>
    <col min="6" max="6" width="7.125" style="312" customWidth="1"/>
    <col min="7" max="7" width="8.375" style="312" customWidth="1"/>
    <col min="8" max="8" width="10.625" style="312" customWidth="1"/>
    <col min="9" max="9" width="11" style="312" customWidth="1"/>
    <col min="10" max="10" width="12.625" style="312" customWidth="1" outlineLevel="1"/>
    <col min="11" max="11" width="10.875" style="312" customWidth="1" outlineLevel="1"/>
    <col min="12" max="13" width="10.875" style="312" customWidth="1"/>
    <col min="14" max="14" width="6.5" style="312" customWidth="1"/>
    <col min="15" max="15" width="7.25" style="312" customWidth="1"/>
    <col min="16" max="16" width="7.125" style="312" customWidth="1"/>
    <col min="17" max="16384" width="9" style="312"/>
  </cols>
  <sheetData>
    <row r="1" spans="1:16" ht="13.5" customHeight="1">
      <c r="A1" s="195" t="s">
        <v>130</v>
      </c>
      <c r="B1" s="196" t="s">
        <v>131</v>
      </c>
      <c r="C1" s="286"/>
      <c r="D1" s="286"/>
      <c r="E1" s="286"/>
      <c r="F1" s="286"/>
      <c r="G1" s="286"/>
      <c r="H1" s="286"/>
      <c r="I1" s="307"/>
      <c r="J1" s="307"/>
      <c r="K1" s="307"/>
      <c r="L1" s="307"/>
      <c r="M1" s="307"/>
      <c r="N1" s="307"/>
      <c r="O1" s="996"/>
      <c r="P1" s="996"/>
    </row>
    <row r="2" spans="1:16" ht="30" customHeight="1">
      <c r="A2" s="848" t="s">
        <v>784</v>
      </c>
      <c r="B2" s="848"/>
      <c r="C2" s="998"/>
      <c r="D2" s="998"/>
      <c r="E2" s="998"/>
      <c r="F2" s="998"/>
      <c r="G2" s="998"/>
      <c r="H2" s="998"/>
      <c r="I2" s="998"/>
      <c r="J2" s="998"/>
      <c r="K2" s="998"/>
      <c r="L2" s="998"/>
      <c r="M2" s="998"/>
      <c r="N2" s="998"/>
      <c r="O2" s="998"/>
      <c r="P2" s="998"/>
    </row>
    <row r="3" spans="1:16">
      <c r="A3" s="849" t="e">
        <f>无形资产汇总!A3</f>
        <v>#REF!</v>
      </c>
      <c r="B3" s="850"/>
      <c r="C3" s="850"/>
      <c r="D3" s="850"/>
      <c r="E3" s="850"/>
      <c r="F3" s="850"/>
      <c r="G3" s="850"/>
      <c r="H3" s="850"/>
      <c r="I3" s="882"/>
      <c r="J3" s="882"/>
      <c r="K3" s="882"/>
      <c r="L3" s="882"/>
      <c r="M3" s="882"/>
      <c r="N3" s="882"/>
      <c r="O3" s="882"/>
      <c r="P3" s="882"/>
    </row>
    <row r="4" spans="1:16" s="330" customFormat="1">
      <c r="A4" s="115" t="e">
        <f>#REF!&amp;#REF!</f>
        <v>#REF!</v>
      </c>
      <c r="B4" s="287"/>
      <c r="C4" s="287"/>
      <c r="D4" s="287"/>
      <c r="E4" s="287"/>
      <c r="F4" s="287"/>
      <c r="G4" s="287"/>
      <c r="H4" s="287"/>
      <c r="I4" s="287"/>
      <c r="J4" s="287"/>
      <c r="K4" s="287"/>
      <c r="L4" s="287"/>
      <c r="M4" s="287"/>
      <c r="N4" s="287"/>
      <c r="O4" s="287"/>
      <c r="P4" s="304" t="s">
        <v>3</v>
      </c>
    </row>
    <row r="5" spans="1:16" s="327" customFormat="1" ht="27.75" customHeight="1">
      <c r="A5" s="289" t="s">
        <v>4</v>
      </c>
      <c r="B5" s="289" t="s">
        <v>785</v>
      </c>
      <c r="C5" s="313" t="s">
        <v>781</v>
      </c>
      <c r="D5" s="289" t="s">
        <v>786</v>
      </c>
      <c r="E5" s="289" t="s">
        <v>242</v>
      </c>
      <c r="F5" s="289" t="s">
        <v>782</v>
      </c>
      <c r="G5" s="289" t="s">
        <v>783</v>
      </c>
      <c r="H5" s="289" t="s">
        <v>787</v>
      </c>
      <c r="I5" s="289" t="s">
        <v>341</v>
      </c>
      <c r="J5" s="309" t="s">
        <v>805</v>
      </c>
      <c r="K5" s="309" t="s">
        <v>713</v>
      </c>
      <c r="L5" s="309" t="s">
        <v>315</v>
      </c>
      <c r="M5" s="289" t="s">
        <v>0</v>
      </c>
      <c r="N5" s="289" t="s">
        <v>1</v>
      </c>
      <c r="O5" s="289" t="s">
        <v>20</v>
      </c>
      <c r="P5" s="289" t="s">
        <v>72</v>
      </c>
    </row>
    <row r="6" spans="1:16">
      <c r="A6" s="290"/>
      <c r="B6" s="290"/>
      <c r="C6" s="290"/>
      <c r="D6" s="290"/>
      <c r="E6" s="294"/>
      <c r="F6" s="290"/>
      <c r="G6" s="290"/>
      <c r="H6" s="290"/>
      <c r="I6" s="296"/>
      <c r="J6" s="297"/>
      <c r="K6" s="297"/>
      <c r="L6" s="297"/>
      <c r="M6" s="296"/>
      <c r="N6" s="296"/>
      <c r="O6" s="296" t="s">
        <v>70</v>
      </c>
      <c r="P6" s="301"/>
    </row>
    <row r="7" spans="1:16">
      <c r="A7" s="290"/>
      <c r="B7" s="290"/>
      <c r="C7" s="290"/>
      <c r="D7" s="290"/>
      <c r="E7" s="294"/>
      <c r="F7" s="290"/>
      <c r="G7" s="290"/>
      <c r="H7" s="290"/>
      <c r="I7" s="296"/>
      <c r="J7" s="296"/>
      <c r="K7" s="296"/>
      <c r="L7" s="296"/>
      <c r="M7" s="296"/>
      <c r="N7" s="296"/>
      <c r="O7" s="296" t="s">
        <v>70</v>
      </c>
      <c r="P7" s="301"/>
    </row>
    <row r="8" spans="1:16">
      <c r="A8" s="290"/>
      <c r="B8" s="290"/>
      <c r="C8" s="290"/>
      <c r="D8" s="290"/>
      <c r="E8" s="294"/>
      <c r="F8" s="290"/>
      <c r="G8" s="290"/>
      <c r="H8" s="290"/>
      <c r="I8" s="296"/>
      <c r="J8" s="296"/>
      <c r="K8" s="296"/>
      <c r="L8" s="296"/>
      <c r="M8" s="296"/>
      <c r="N8" s="296"/>
      <c r="O8" s="296" t="s">
        <v>70</v>
      </c>
      <c r="P8" s="301"/>
    </row>
    <row r="9" spans="1:16">
      <c r="A9" s="290"/>
      <c r="B9" s="290"/>
      <c r="C9" s="290"/>
      <c r="D9" s="290"/>
      <c r="E9" s="294"/>
      <c r="F9" s="290"/>
      <c r="G9" s="290"/>
      <c r="H9" s="290"/>
      <c r="I9" s="296"/>
      <c r="J9" s="296"/>
      <c r="K9" s="296"/>
      <c r="L9" s="296"/>
      <c r="M9" s="296"/>
      <c r="N9" s="296"/>
      <c r="O9" s="296" t="s">
        <v>70</v>
      </c>
      <c r="P9" s="301"/>
    </row>
    <row r="10" spans="1:16">
      <c r="A10" s="290"/>
      <c r="B10" s="290"/>
      <c r="C10" s="290"/>
      <c r="D10" s="290"/>
      <c r="E10" s="294"/>
      <c r="F10" s="290"/>
      <c r="G10" s="290"/>
      <c r="H10" s="290"/>
      <c r="I10" s="296"/>
      <c r="J10" s="296"/>
      <c r="K10" s="296"/>
      <c r="L10" s="296"/>
      <c r="M10" s="296"/>
      <c r="N10" s="296"/>
      <c r="O10" s="296" t="s">
        <v>70</v>
      </c>
      <c r="P10" s="301"/>
    </row>
    <row r="11" spans="1:16">
      <c r="A11" s="290"/>
      <c r="B11" s="290"/>
      <c r="C11" s="290"/>
      <c r="D11" s="290"/>
      <c r="E11" s="294"/>
      <c r="F11" s="290"/>
      <c r="G11" s="290"/>
      <c r="H11" s="290"/>
      <c r="I11" s="296"/>
      <c r="J11" s="296"/>
      <c r="K11" s="296"/>
      <c r="L11" s="296"/>
      <c r="M11" s="296"/>
      <c r="N11" s="296"/>
      <c r="O11" s="296" t="s">
        <v>70</v>
      </c>
      <c r="P11" s="301"/>
    </row>
    <row r="12" spans="1:16">
      <c r="A12" s="290"/>
      <c r="B12" s="290"/>
      <c r="C12" s="290"/>
      <c r="D12" s="290"/>
      <c r="E12" s="294"/>
      <c r="F12" s="290"/>
      <c r="G12" s="290"/>
      <c r="H12" s="290"/>
      <c r="I12" s="296"/>
      <c r="J12" s="296"/>
      <c r="K12" s="296"/>
      <c r="L12" s="296"/>
      <c r="M12" s="296"/>
      <c r="N12" s="296"/>
      <c r="O12" s="296" t="s">
        <v>70</v>
      </c>
      <c r="P12" s="301"/>
    </row>
    <row r="13" spans="1:16">
      <c r="A13" s="290"/>
      <c r="B13" s="290"/>
      <c r="C13" s="290"/>
      <c r="D13" s="290"/>
      <c r="E13" s="294"/>
      <c r="F13" s="290"/>
      <c r="G13" s="290"/>
      <c r="H13" s="290"/>
      <c r="I13" s="296"/>
      <c r="J13" s="296"/>
      <c r="K13" s="296"/>
      <c r="L13" s="296"/>
      <c r="M13" s="296"/>
      <c r="N13" s="296"/>
      <c r="O13" s="296" t="s">
        <v>70</v>
      </c>
      <c r="P13" s="301"/>
    </row>
    <row r="14" spans="1:16">
      <c r="A14" s="290"/>
      <c r="B14" s="290"/>
      <c r="C14" s="290"/>
      <c r="D14" s="290"/>
      <c r="E14" s="294"/>
      <c r="F14" s="290"/>
      <c r="G14" s="290"/>
      <c r="H14" s="290"/>
      <c r="I14" s="296"/>
      <c r="J14" s="296"/>
      <c r="K14" s="296"/>
      <c r="L14" s="296"/>
      <c r="M14" s="296"/>
      <c r="N14" s="296"/>
      <c r="O14" s="296" t="s">
        <v>70</v>
      </c>
      <c r="P14" s="301"/>
    </row>
    <row r="15" spans="1:16">
      <c r="A15" s="290"/>
      <c r="B15" s="290"/>
      <c r="C15" s="290"/>
      <c r="D15" s="290"/>
      <c r="E15" s="294"/>
      <c r="F15" s="290"/>
      <c r="G15" s="290"/>
      <c r="H15" s="290"/>
      <c r="I15" s="296"/>
      <c r="J15" s="296"/>
      <c r="K15" s="296"/>
      <c r="L15" s="296"/>
      <c r="M15" s="296"/>
      <c r="N15" s="296"/>
      <c r="O15" s="296" t="s">
        <v>70</v>
      </c>
      <c r="P15" s="301"/>
    </row>
    <row r="16" spans="1:16">
      <c r="A16" s="290"/>
      <c r="B16" s="290"/>
      <c r="C16" s="290"/>
      <c r="D16" s="290"/>
      <c r="E16" s="294"/>
      <c r="F16" s="290"/>
      <c r="G16" s="290"/>
      <c r="H16" s="290"/>
      <c r="I16" s="296"/>
      <c r="J16" s="296"/>
      <c r="K16" s="296"/>
      <c r="L16" s="296"/>
      <c r="M16" s="296"/>
      <c r="N16" s="296"/>
      <c r="O16" s="296" t="s">
        <v>70</v>
      </c>
      <c r="P16" s="301"/>
    </row>
    <row r="17" spans="1:16">
      <c r="A17" s="290"/>
      <c r="B17" s="290"/>
      <c r="C17" s="290"/>
      <c r="D17" s="290"/>
      <c r="E17" s="294"/>
      <c r="F17" s="290"/>
      <c r="G17" s="290"/>
      <c r="H17" s="290"/>
      <c r="I17" s="296"/>
      <c r="J17" s="296"/>
      <c r="K17" s="296"/>
      <c r="L17" s="296"/>
      <c r="M17" s="296"/>
      <c r="N17" s="296"/>
      <c r="O17" s="296" t="s">
        <v>70</v>
      </c>
      <c r="P17" s="301"/>
    </row>
    <row r="18" spans="1:16">
      <c r="A18" s="290"/>
      <c r="B18" s="290"/>
      <c r="C18" s="290"/>
      <c r="D18" s="290"/>
      <c r="E18" s="294"/>
      <c r="F18" s="290"/>
      <c r="G18" s="290"/>
      <c r="H18" s="290"/>
      <c r="I18" s="296"/>
      <c r="J18" s="296"/>
      <c r="K18" s="296"/>
      <c r="L18" s="296"/>
      <c r="M18" s="296"/>
      <c r="N18" s="296"/>
      <c r="O18" s="296" t="s">
        <v>70</v>
      </c>
      <c r="P18" s="301"/>
    </row>
    <row r="19" spans="1:16">
      <c r="A19" s="290"/>
      <c r="B19" s="290"/>
      <c r="C19" s="290"/>
      <c r="D19" s="290"/>
      <c r="E19" s="294"/>
      <c r="F19" s="290"/>
      <c r="G19" s="290"/>
      <c r="H19" s="290"/>
      <c r="I19" s="296"/>
      <c r="J19" s="296"/>
      <c r="K19" s="296"/>
      <c r="L19" s="296"/>
      <c r="M19" s="296"/>
      <c r="N19" s="296"/>
      <c r="O19" s="296" t="s">
        <v>70</v>
      </c>
      <c r="P19" s="301"/>
    </row>
    <row r="20" spans="1:16">
      <c r="A20" s="290"/>
      <c r="B20" s="290"/>
      <c r="C20" s="290"/>
      <c r="D20" s="290"/>
      <c r="E20" s="294"/>
      <c r="F20" s="290"/>
      <c r="G20" s="290"/>
      <c r="H20" s="290"/>
      <c r="I20" s="296"/>
      <c r="J20" s="296"/>
      <c r="K20" s="296"/>
      <c r="L20" s="296"/>
      <c r="M20" s="296"/>
      <c r="N20" s="296"/>
      <c r="O20" s="296" t="s">
        <v>70</v>
      </c>
      <c r="P20" s="301"/>
    </row>
    <row r="21" spans="1:16">
      <c r="A21" s="290"/>
      <c r="B21" s="290"/>
      <c r="C21" s="290"/>
      <c r="D21" s="290"/>
      <c r="E21" s="294"/>
      <c r="F21" s="290"/>
      <c r="G21" s="290"/>
      <c r="H21" s="290"/>
      <c r="I21" s="296"/>
      <c r="J21" s="296"/>
      <c r="K21" s="296"/>
      <c r="L21" s="296"/>
      <c r="M21" s="296"/>
      <c r="N21" s="296"/>
      <c r="O21" s="296" t="s">
        <v>70</v>
      </c>
      <c r="P21" s="301"/>
    </row>
    <row r="22" spans="1:16">
      <c r="A22" s="290"/>
      <c r="B22" s="290"/>
      <c r="C22" s="290"/>
      <c r="D22" s="290"/>
      <c r="E22" s="294"/>
      <c r="F22" s="290"/>
      <c r="G22" s="290"/>
      <c r="H22" s="290"/>
      <c r="I22" s="296"/>
      <c r="J22" s="296"/>
      <c r="K22" s="296"/>
      <c r="L22" s="296"/>
      <c r="M22" s="296"/>
      <c r="N22" s="296"/>
      <c r="O22" s="296" t="s">
        <v>70</v>
      </c>
      <c r="P22" s="301"/>
    </row>
    <row r="23" spans="1:16">
      <c r="A23" s="290"/>
      <c r="B23" s="290"/>
      <c r="C23" s="290"/>
      <c r="D23" s="290"/>
      <c r="E23" s="294"/>
      <c r="F23" s="290"/>
      <c r="G23" s="290"/>
      <c r="H23" s="290"/>
      <c r="I23" s="296"/>
      <c r="J23" s="296"/>
      <c r="K23" s="296"/>
      <c r="L23" s="296"/>
      <c r="M23" s="296"/>
      <c r="N23" s="296"/>
      <c r="O23" s="296" t="s">
        <v>70</v>
      </c>
      <c r="P23" s="301"/>
    </row>
    <row r="24" spans="1:16">
      <c r="A24" s="290"/>
      <c r="B24" s="290"/>
      <c r="C24" s="290"/>
      <c r="D24" s="290"/>
      <c r="E24" s="294"/>
      <c r="F24" s="290"/>
      <c r="G24" s="290"/>
      <c r="H24" s="290"/>
      <c r="I24" s="296"/>
      <c r="J24" s="296"/>
      <c r="K24" s="296"/>
      <c r="L24" s="296"/>
      <c r="M24" s="296"/>
      <c r="N24" s="296"/>
      <c r="O24" s="296" t="s">
        <v>70</v>
      </c>
      <c r="P24" s="301"/>
    </row>
    <row r="25" spans="1:16">
      <c r="A25" s="290"/>
      <c r="B25" s="290"/>
      <c r="C25" s="290"/>
      <c r="D25" s="290"/>
      <c r="E25" s="294"/>
      <c r="F25" s="290"/>
      <c r="G25" s="290"/>
      <c r="H25" s="290"/>
      <c r="I25" s="296"/>
      <c r="J25" s="296"/>
      <c r="K25" s="296"/>
      <c r="L25" s="296"/>
      <c r="M25" s="296"/>
      <c r="N25" s="296"/>
      <c r="O25" s="296" t="s">
        <v>70</v>
      </c>
      <c r="P25" s="301"/>
    </row>
    <row r="26" spans="1:16">
      <c r="A26" s="290"/>
      <c r="B26" s="290"/>
      <c r="C26" s="290"/>
      <c r="D26" s="290"/>
      <c r="E26" s="294"/>
      <c r="F26" s="290"/>
      <c r="G26" s="290"/>
      <c r="H26" s="290"/>
      <c r="I26" s="296"/>
      <c r="J26" s="296"/>
      <c r="K26" s="296"/>
      <c r="L26" s="296"/>
      <c r="M26" s="296"/>
      <c r="N26" s="296"/>
      <c r="O26" s="296"/>
      <c r="P26" s="301"/>
    </row>
    <row r="27" spans="1:16">
      <c r="A27" s="860" t="s">
        <v>36</v>
      </c>
      <c r="B27" s="864"/>
      <c r="C27" s="864"/>
      <c r="D27" s="300"/>
      <c r="E27" s="294"/>
      <c r="F27" s="290"/>
      <c r="G27" s="290"/>
      <c r="H27" s="290"/>
      <c r="I27" s="296"/>
      <c r="J27" s="296">
        <f>SUM(J6:J26)</f>
        <v>0</v>
      </c>
      <c r="K27" s="296"/>
      <c r="L27" s="296">
        <f>SUM(L6:L26)</f>
        <v>0</v>
      </c>
      <c r="M27" s="296">
        <f>SUM(M6:M26)</f>
        <v>0</v>
      </c>
      <c r="N27" s="296"/>
      <c r="O27" s="296" t="s">
        <v>70</v>
      </c>
      <c r="P27" s="301"/>
    </row>
    <row r="28" spans="1:16">
      <c r="A28" s="997" t="s">
        <v>708</v>
      </c>
      <c r="B28" s="997"/>
      <c r="C28" s="997"/>
      <c r="D28" s="997"/>
      <c r="E28" s="287"/>
      <c r="G28" s="287"/>
      <c r="H28" s="287"/>
      <c r="I28" s="287"/>
      <c r="J28" s="287"/>
      <c r="K28" s="287"/>
      <c r="L28" s="4" t="e">
        <f>"评估人员："&amp;#REF!&amp;"  "&amp;#REF!</f>
        <v>#REF!</v>
      </c>
      <c r="M28" s="287"/>
      <c r="N28" s="287"/>
      <c r="O28" s="287"/>
      <c r="P28" s="287"/>
    </row>
    <row r="29" spans="1:16">
      <c r="A29" s="101" t="e">
        <f>CONCATENATE(#REF!,#REF!,#REF!,#REF!,#REF!,#REF!,#REF!)</f>
        <v>#REF!</v>
      </c>
      <c r="B29" s="314"/>
      <c r="C29" s="287"/>
      <c r="D29" s="287"/>
      <c r="E29" s="287"/>
      <c r="F29" s="287"/>
      <c r="G29" s="287"/>
      <c r="H29" s="287"/>
      <c r="I29" s="287"/>
      <c r="J29" s="287"/>
      <c r="K29" s="287"/>
      <c r="L29" s="287"/>
      <c r="M29" s="287"/>
      <c r="N29" s="287"/>
      <c r="O29" s="287"/>
      <c r="P29" s="287"/>
    </row>
  </sheetData>
  <mergeCells count="5">
    <mergeCell ref="O1:P1"/>
    <mergeCell ref="A28:D28"/>
    <mergeCell ref="A2:P2"/>
    <mergeCell ref="A3:P3"/>
    <mergeCell ref="A27:C27"/>
  </mergeCells>
  <phoneticPr fontId="6" type="noConversion"/>
  <hyperlinks>
    <hyperlink ref="A1" location="索引目录!C28" display="土地使用权"/>
    <hyperlink ref="B1" location="无形资产汇总!B6" display="无形资产-土地使用权"/>
  </hyperlinks>
  <printOptions horizontalCentered="1"/>
  <pageMargins left="0.35433070866141736" right="0.35433070866141736" top="0.78740157480314965" bottom="0.78740157480314965" header="1.0236220472440944" footer="0.51181102362204722"/>
  <pageSetup paperSize="9" scale="89" orientation="landscape" r:id="rId1"/>
  <headerFooter alignWithMargins="0">
    <oddHeader>&amp;R&amp;"宋体,常规"&amp;10表&amp;"Times New Roman,常规"4-12-2
&amp;"宋体,常规"共&amp;"Times New Roman,常规"&amp;N&amp;"宋体,常规"页第&amp;"Times New Roman,常规"&amp;P&amp;"宋体,常规"页</oddHeader>
  </headerFooter>
  <legacy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4">
    <pageSetUpPr fitToPage="1"/>
  </sheetPr>
  <dimension ref="A1:M29"/>
  <sheetViews>
    <sheetView workbookViewId="0">
      <selection activeCell="H10" sqref="H10"/>
    </sheetView>
  </sheetViews>
  <sheetFormatPr defaultRowHeight="15.75" customHeight="1" outlineLevelCol="1"/>
  <cols>
    <col min="1" max="1" width="5.75" style="4" customWidth="1"/>
    <col min="2" max="2" width="19.125" style="4" customWidth="1"/>
    <col min="3" max="3" width="5.25" style="4" customWidth="1"/>
    <col min="4" max="4" width="8.125" style="4" customWidth="1"/>
    <col min="5" max="5" width="13.375" style="4" customWidth="1"/>
    <col min="6" max="7" width="13.375" style="4" customWidth="1" outlineLevel="1"/>
    <col min="8" max="8" width="13.375" style="4" customWidth="1"/>
    <col min="9" max="9" width="9.25" style="4" customWidth="1"/>
    <col min="10" max="11" width="13.375" style="4" customWidth="1"/>
    <col min="12" max="12" width="11.625" style="4" customWidth="1"/>
    <col min="13" max="13" width="11" style="4" customWidth="1"/>
    <col min="14" max="16384" width="9" style="4"/>
  </cols>
  <sheetData>
    <row r="1" spans="1:13" ht="12.75">
      <c r="A1" s="195" t="s">
        <v>130</v>
      </c>
      <c r="B1" s="196" t="s">
        <v>131</v>
      </c>
      <c r="C1" s="1"/>
      <c r="D1" s="1"/>
      <c r="E1" s="1"/>
      <c r="F1" s="1"/>
      <c r="G1" s="1"/>
      <c r="H1" s="1"/>
      <c r="I1" s="1"/>
      <c r="J1" s="1"/>
      <c r="K1" s="1"/>
      <c r="L1" s="1"/>
      <c r="M1" s="1"/>
    </row>
    <row r="2" spans="1:13" s="114" customFormat="1" ht="30" customHeight="1">
      <c r="A2" s="790" t="s">
        <v>869</v>
      </c>
      <c r="B2" s="791"/>
      <c r="C2" s="791"/>
      <c r="D2" s="791"/>
      <c r="E2" s="791"/>
      <c r="F2" s="791"/>
      <c r="G2" s="791"/>
      <c r="H2" s="791"/>
      <c r="I2" s="791"/>
      <c r="J2" s="791"/>
      <c r="K2" s="791"/>
      <c r="L2" s="791"/>
      <c r="M2" s="791"/>
    </row>
    <row r="3" spans="1:13" ht="14.1" customHeight="1">
      <c r="A3" s="792" t="e">
        <f>CONCATENATE(#REF!,#REF!,#REF!,#REF!,#REF!,#REF!,#REF!)</f>
        <v>#REF!</v>
      </c>
      <c r="B3" s="792"/>
      <c r="C3" s="792"/>
      <c r="D3" s="792"/>
      <c r="E3" s="792"/>
      <c r="F3" s="792"/>
      <c r="G3" s="792"/>
      <c r="H3" s="792"/>
      <c r="I3" s="808"/>
      <c r="J3" s="808"/>
      <c r="K3" s="808"/>
      <c r="L3" s="808"/>
      <c r="M3" s="808"/>
    </row>
    <row r="4" spans="1:13" ht="15.75" customHeight="1">
      <c r="A4" s="115" t="e">
        <f>#REF!&amp;#REF!</f>
        <v>#REF!</v>
      </c>
      <c r="M4" s="106" t="s">
        <v>3</v>
      </c>
    </row>
    <row r="5" spans="1:13" s="1" customFormat="1" ht="27.75" customHeight="1">
      <c r="A5" s="2" t="s">
        <v>4</v>
      </c>
      <c r="B5" s="2" t="s">
        <v>241</v>
      </c>
      <c r="C5" s="2" t="s">
        <v>242</v>
      </c>
      <c r="D5" s="2" t="s">
        <v>243</v>
      </c>
      <c r="E5" s="2" t="s">
        <v>341</v>
      </c>
      <c r="F5" s="2" t="s">
        <v>426</v>
      </c>
      <c r="G5" s="2" t="s">
        <v>710</v>
      </c>
      <c r="H5" s="2" t="s">
        <v>315</v>
      </c>
      <c r="I5" s="2" t="s">
        <v>322</v>
      </c>
      <c r="J5" s="2" t="s">
        <v>0</v>
      </c>
      <c r="K5" s="2" t="s">
        <v>1</v>
      </c>
      <c r="L5" s="2" t="s">
        <v>20</v>
      </c>
      <c r="M5" s="2" t="s">
        <v>72</v>
      </c>
    </row>
    <row r="6" spans="1:13" ht="15.75" customHeight="1">
      <c r="A6" s="105"/>
      <c r="B6" s="128"/>
      <c r="C6" s="121"/>
      <c r="D6" s="105"/>
      <c r="E6" s="142"/>
      <c r="F6" s="142"/>
      <c r="G6" s="142"/>
      <c r="H6" s="142"/>
      <c r="I6" s="153"/>
      <c r="J6" s="142"/>
      <c r="K6" s="142"/>
      <c r="L6" s="142" t="str">
        <f>IF(H6=0,"",(J6-H6)/H6*100)</f>
        <v/>
      </c>
      <c r="M6" s="120"/>
    </row>
    <row r="7" spans="1:13" ht="15.75" customHeight="1">
      <c r="A7" s="105"/>
      <c r="B7" s="128"/>
      <c r="C7" s="121"/>
      <c r="D7" s="105"/>
      <c r="E7" s="142"/>
      <c r="F7" s="142"/>
      <c r="G7" s="142"/>
      <c r="H7" s="142"/>
      <c r="I7" s="153"/>
      <c r="J7" s="142"/>
      <c r="K7" s="142"/>
      <c r="L7" s="142" t="str">
        <f t="shared" ref="L7:L27" si="0">IF(H7=0,"",(J7-H7)/H7*100)</f>
        <v/>
      </c>
      <c r="M7" s="120"/>
    </row>
    <row r="8" spans="1:13" ht="15.75" customHeight="1">
      <c r="A8" s="105"/>
      <c r="B8" s="128"/>
      <c r="C8" s="121"/>
      <c r="D8" s="105"/>
      <c r="E8" s="142"/>
      <c r="F8" s="142"/>
      <c r="G8" s="142"/>
      <c r="H8" s="142"/>
      <c r="I8" s="153"/>
      <c r="J8" s="142"/>
      <c r="K8" s="142"/>
      <c r="L8" s="142" t="str">
        <f t="shared" si="0"/>
        <v/>
      </c>
      <c r="M8" s="120"/>
    </row>
    <row r="9" spans="1:13" ht="15.75" customHeight="1">
      <c r="A9" s="105"/>
      <c r="B9" s="128"/>
      <c r="C9" s="121"/>
      <c r="D9" s="105"/>
      <c r="E9" s="142"/>
      <c r="F9" s="142"/>
      <c r="G9" s="142"/>
      <c r="H9" s="142"/>
      <c r="I9" s="153"/>
      <c r="J9" s="142"/>
      <c r="K9" s="142"/>
      <c r="L9" s="142" t="str">
        <f t="shared" si="0"/>
        <v/>
      </c>
      <c r="M9" s="120"/>
    </row>
    <row r="10" spans="1:13" ht="15.75" customHeight="1">
      <c r="A10" s="105"/>
      <c r="B10" s="128"/>
      <c r="C10" s="121"/>
      <c r="D10" s="105"/>
      <c r="E10" s="142"/>
      <c r="F10" s="142"/>
      <c r="G10" s="142"/>
      <c r="H10" s="142"/>
      <c r="I10" s="153"/>
      <c r="J10" s="142"/>
      <c r="K10" s="142"/>
      <c r="L10" s="142" t="str">
        <f t="shared" si="0"/>
        <v/>
      </c>
      <c r="M10" s="120"/>
    </row>
    <row r="11" spans="1:13" ht="15.75" customHeight="1">
      <c r="A11" s="105"/>
      <c r="B11" s="128"/>
      <c r="C11" s="121"/>
      <c r="D11" s="105"/>
      <c r="E11" s="142"/>
      <c r="F11" s="142"/>
      <c r="G11" s="142"/>
      <c r="H11" s="142"/>
      <c r="I11" s="153"/>
      <c r="J11" s="142"/>
      <c r="K11" s="142"/>
      <c r="L11" s="142" t="str">
        <f t="shared" si="0"/>
        <v/>
      </c>
      <c r="M11" s="120"/>
    </row>
    <row r="12" spans="1:13" ht="15.75" customHeight="1">
      <c r="A12" s="105"/>
      <c r="B12" s="128"/>
      <c r="C12" s="121"/>
      <c r="D12" s="105"/>
      <c r="E12" s="142"/>
      <c r="F12" s="142"/>
      <c r="G12" s="142"/>
      <c r="H12" s="142"/>
      <c r="I12" s="153"/>
      <c r="J12" s="142"/>
      <c r="K12" s="142"/>
      <c r="L12" s="142" t="str">
        <f t="shared" si="0"/>
        <v/>
      </c>
      <c r="M12" s="120"/>
    </row>
    <row r="13" spans="1:13" ht="15.75" customHeight="1">
      <c r="A13" s="105"/>
      <c r="B13" s="128"/>
      <c r="C13" s="121"/>
      <c r="D13" s="105"/>
      <c r="E13" s="142"/>
      <c r="F13" s="142"/>
      <c r="G13" s="142"/>
      <c r="H13" s="142"/>
      <c r="I13" s="153"/>
      <c r="J13" s="142"/>
      <c r="K13" s="142"/>
      <c r="L13" s="142" t="str">
        <f t="shared" si="0"/>
        <v/>
      </c>
      <c r="M13" s="120"/>
    </row>
    <row r="14" spans="1:13" ht="15.75" customHeight="1">
      <c r="A14" s="105"/>
      <c r="B14" s="128"/>
      <c r="C14" s="121"/>
      <c r="D14" s="105"/>
      <c r="E14" s="142"/>
      <c r="F14" s="142"/>
      <c r="G14" s="142"/>
      <c r="H14" s="142"/>
      <c r="I14" s="153"/>
      <c r="J14" s="142"/>
      <c r="K14" s="142"/>
      <c r="L14" s="142" t="str">
        <f t="shared" si="0"/>
        <v/>
      </c>
      <c r="M14" s="120"/>
    </row>
    <row r="15" spans="1:13" ht="15.75" customHeight="1">
      <c r="A15" s="105"/>
      <c r="B15" s="128"/>
      <c r="C15" s="121"/>
      <c r="D15" s="105"/>
      <c r="E15" s="142"/>
      <c r="F15" s="142"/>
      <c r="G15" s="142"/>
      <c r="H15" s="142"/>
      <c r="I15" s="153"/>
      <c r="J15" s="142"/>
      <c r="K15" s="142"/>
      <c r="L15" s="142" t="str">
        <f t="shared" si="0"/>
        <v/>
      </c>
      <c r="M15" s="120"/>
    </row>
    <row r="16" spans="1:13" ht="15.75" customHeight="1">
      <c r="A16" s="105"/>
      <c r="B16" s="128"/>
      <c r="C16" s="121"/>
      <c r="D16" s="105"/>
      <c r="E16" s="142"/>
      <c r="F16" s="142"/>
      <c r="G16" s="142"/>
      <c r="H16" s="142"/>
      <c r="I16" s="153"/>
      <c r="J16" s="142"/>
      <c r="K16" s="142"/>
      <c r="L16" s="142" t="str">
        <f t="shared" si="0"/>
        <v/>
      </c>
      <c r="M16" s="120"/>
    </row>
    <row r="17" spans="1:13" ht="15.75" customHeight="1">
      <c r="A17" s="105"/>
      <c r="B17" s="128"/>
      <c r="C17" s="121"/>
      <c r="D17" s="105"/>
      <c r="E17" s="142"/>
      <c r="F17" s="142"/>
      <c r="G17" s="142"/>
      <c r="H17" s="142"/>
      <c r="I17" s="153"/>
      <c r="J17" s="142"/>
      <c r="K17" s="142"/>
      <c r="L17" s="142" t="str">
        <f t="shared" si="0"/>
        <v/>
      </c>
      <c r="M17" s="120"/>
    </row>
    <row r="18" spans="1:13" ht="15.75" customHeight="1">
      <c r="A18" s="105"/>
      <c r="B18" s="128"/>
      <c r="C18" s="121"/>
      <c r="D18" s="105"/>
      <c r="E18" s="142"/>
      <c r="F18" s="142"/>
      <c r="G18" s="142"/>
      <c r="H18" s="142"/>
      <c r="I18" s="153"/>
      <c r="J18" s="142"/>
      <c r="K18" s="142"/>
      <c r="L18" s="142" t="str">
        <f t="shared" si="0"/>
        <v/>
      </c>
      <c r="M18" s="120"/>
    </row>
    <row r="19" spans="1:13" ht="15.75" customHeight="1">
      <c r="A19" s="105"/>
      <c r="B19" s="128"/>
      <c r="C19" s="121"/>
      <c r="D19" s="105"/>
      <c r="E19" s="142"/>
      <c r="F19" s="142"/>
      <c r="G19" s="142"/>
      <c r="H19" s="142"/>
      <c r="I19" s="153"/>
      <c r="J19" s="142"/>
      <c r="K19" s="142"/>
      <c r="L19" s="142" t="str">
        <f t="shared" si="0"/>
        <v/>
      </c>
      <c r="M19" s="120"/>
    </row>
    <row r="20" spans="1:13" ht="15.75" customHeight="1">
      <c r="A20" s="105"/>
      <c r="B20" s="128"/>
      <c r="C20" s="121"/>
      <c r="D20" s="105"/>
      <c r="E20" s="142"/>
      <c r="F20" s="142"/>
      <c r="G20" s="142"/>
      <c r="H20" s="142"/>
      <c r="I20" s="153"/>
      <c r="J20" s="142"/>
      <c r="K20" s="142"/>
      <c r="L20" s="142" t="str">
        <f t="shared" si="0"/>
        <v/>
      </c>
      <c r="M20" s="120"/>
    </row>
    <row r="21" spans="1:13" ht="15.75" customHeight="1">
      <c r="A21" s="105"/>
      <c r="B21" s="128"/>
      <c r="C21" s="121"/>
      <c r="D21" s="105"/>
      <c r="E21" s="142"/>
      <c r="F21" s="142"/>
      <c r="G21" s="142"/>
      <c r="H21" s="142"/>
      <c r="I21" s="153"/>
      <c r="J21" s="142"/>
      <c r="K21" s="142"/>
      <c r="L21" s="142" t="str">
        <f t="shared" si="0"/>
        <v/>
      </c>
      <c r="M21" s="120"/>
    </row>
    <row r="22" spans="1:13" ht="15.75" customHeight="1">
      <c r="A22" s="105"/>
      <c r="B22" s="128"/>
      <c r="C22" s="121"/>
      <c r="D22" s="105"/>
      <c r="E22" s="142"/>
      <c r="F22" s="142"/>
      <c r="G22" s="142"/>
      <c r="H22" s="142"/>
      <c r="I22" s="153"/>
      <c r="J22" s="142"/>
      <c r="K22" s="142"/>
      <c r="L22" s="142" t="str">
        <f t="shared" si="0"/>
        <v/>
      </c>
      <c r="M22" s="120"/>
    </row>
    <row r="23" spans="1:13" ht="15.75" customHeight="1">
      <c r="A23" s="105"/>
      <c r="B23" s="128"/>
      <c r="C23" s="121"/>
      <c r="D23" s="105"/>
      <c r="E23" s="142"/>
      <c r="F23" s="142"/>
      <c r="G23" s="142"/>
      <c r="H23" s="142"/>
      <c r="I23" s="153"/>
      <c r="J23" s="142"/>
      <c r="K23" s="142"/>
      <c r="L23" s="142" t="str">
        <f t="shared" si="0"/>
        <v/>
      </c>
      <c r="M23" s="120"/>
    </row>
    <row r="24" spans="1:13" ht="15.75" customHeight="1">
      <c r="A24" s="105"/>
      <c r="B24" s="128"/>
      <c r="C24" s="121"/>
      <c r="D24" s="105"/>
      <c r="E24" s="142"/>
      <c r="F24" s="142"/>
      <c r="G24" s="142"/>
      <c r="H24" s="142"/>
      <c r="I24" s="153"/>
      <c r="J24" s="142"/>
      <c r="K24" s="142"/>
      <c r="L24" s="142" t="str">
        <f t="shared" si="0"/>
        <v/>
      </c>
      <c r="M24" s="120"/>
    </row>
    <row r="25" spans="1:13" ht="15.75" customHeight="1">
      <c r="A25" s="105"/>
      <c r="B25" s="128"/>
      <c r="C25" s="121"/>
      <c r="D25" s="105"/>
      <c r="E25" s="142"/>
      <c r="F25" s="142"/>
      <c r="G25" s="142"/>
      <c r="H25" s="142"/>
      <c r="I25" s="153"/>
      <c r="J25" s="142"/>
      <c r="K25" s="142"/>
      <c r="L25" s="142" t="str">
        <f t="shared" si="0"/>
        <v/>
      </c>
      <c r="M25" s="120"/>
    </row>
    <row r="26" spans="1:13" ht="15.75" customHeight="1">
      <c r="A26" s="105"/>
      <c r="B26" s="128"/>
      <c r="C26" s="121"/>
      <c r="D26" s="105"/>
      <c r="E26" s="142"/>
      <c r="F26" s="142"/>
      <c r="G26" s="142"/>
      <c r="H26" s="142"/>
      <c r="I26" s="153"/>
      <c r="J26" s="142"/>
      <c r="K26" s="142"/>
      <c r="L26" s="142"/>
      <c r="M26" s="120"/>
    </row>
    <row r="27" spans="1:13" ht="15.75" customHeight="1">
      <c r="A27" s="809" t="s">
        <v>36</v>
      </c>
      <c r="B27" s="810"/>
      <c r="C27" s="121"/>
      <c r="D27" s="105"/>
      <c r="E27" s="142"/>
      <c r="F27" s="142">
        <f>SUM(F6:F26)</f>
        <v>0</v>
      </c>
      <c r="G27" s="142"/>
      <c r="H27" s="142">
        <f>SUM(H6:H26)</f>
        <v>0</v>
      </c>
      <c r="I27" s="153"/>
      <c r="J27" s="142">
        <f>SUM(J6:J26)</f>
        <v>0</v>
      </c>
      <c r="K27" s="142"/>
      <c r="L27" s="142" t="str">
        <f t="shared" si="0"/>
        <v/>
      </c>
      <c r="M27" s="120"/>
    </row>
    <row r="28" spans="1:13" ht="15.75" customHeight="1">
      <c r="A28" s="101" t="e">
        <f>#REF!&amp;#REF!</f>
        <v>#REF!</v>
      </c>
      <c r="H28" s="115" t="e">
        <f>"评估人员："&amp;#REF!</f>
        <v>#REF!</v>
      </c>
    </row>
    <row r="29" spans="1:13" ht="15.75" customHeight="1">
      <c r="A29" s="101" t="e">
        <f>CONCATENATE(#REF!,#REF!,#REF!,#REF!,#REF!,#REF!,#REF!)</f>
        <v>#REF!</v>
      </c>
    </row>
  </sheetData>
  <mergeCells count="3">
    <mergeCell ref="A2:M2"/>
    <mergeCell ref="A3:M3"/>
    <mergeCell ref="A27:B27"/>
  </mergeCells>
  <phoneticPr fontId="6" type="noConversion"/>
  <hyperlinks>
    <hyperlink ref="A1" location="索引目录!C29" display="其他无形资产"/>
    <hyperlink ref="B1" location="无形资产汇总!B7" display="无形资产-其他无形资产"/>
  </hyperlinks>
  <printOptions horizontalCentered="1"/>
  <pageMargins left="0.35433070866141736" right="0.35433070866141736" top="0.78740157480314965" bottom="0.78740157480314965" header="1.06" footer="0.51181102362204722"/>
  <pageSetup paperSize="9" scale="87" fitToHeight="0" orientation="landscape" horizontalDpi="4294967292" r:id="rId1"/>
  <headerFooter alignWithMargins="0">
    <oddHeader>&amp;R&amp;"宋体,常规"&amp;10表&amp;"Times New Roman,常规"4-12-3
&amp;"宋体,常规"共&amp;"Times New Roman,常规"&amp;N&amp;"宋体,常规"页第&amp;"Times New Roman,常规"&amp;P&amp;"宋体,常规"页</oddHeader>
  </headerFooter>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7" enableFormatConditionsCalculation="0">
    <tabColor indexed="13"/>
    <pageSetUpPr fitToPage="1"/>
  </sheetPr>
  <dimension ref="A1:J29"/>
  <sheetViews>
    <sheetView workbookViewId="0">
      <selection activeCell="H10" sqref="H10"/>
    </sheetView>
  </sheetViews>
  <sheetFormatPr defaultRowHeight="15.75" customHeight="1" outlineLevelCol="1"/>
  <cols>
    <col min="1" max="1" width="5.75" style="4" customWidth="1"/>
    <col min="2" max="2" width="27.125" style="4" customWidth="1"/>
    <col min="3" max="3" width="12.625" style="4" customWidth="1"/>
    <col min="4" max="5" width="13.375" style="4" customWidth="1" outlineLevel="1"/>
    <col min="6" max="6" width="21.75" style="4" customWidth="1"/>
    <col min="7" max="7" width="19.125" style="4" customWidth="1"/>
    <col min="8" max="8" width="13.375" style="4" customWidth="1"/>
    <col min="9" max="9" width="11.625" style="4" customWidth="1"/>
    <col min="10" max="10" width="11" style="4" customWidth="1"/>
    <col min="11" max="16384" width="9" style="4"/>
  </cols>
  <sheetData>
    <row r="1" spans="1:10" ht="14.25">
      <c r="A1" s="272" t="s">
        <v>130</v>
      </c>
      <c r="B1" s="196" t="s">
        <v>131</v>
      </c>
      <c r="C1" s="1"/>
      <c r="D1" s="1"/>
      <c r="E1" s="1"/>
      <c r="F1" s="1"/>
      <c r="G1" s="1"/>
      <c r="H1" s="1"/>
      <c r="I1" s="1"/>
      <c r="J1" s="1"/>
    </row>
    <row r="2" spans="1:10" s="114" customFormat="1" ht="30" customHeight="1">
      <c r="A2" s="790" t="s">
        <v>868</v>
      </c>
      <c r="B2" s="791"/>
      <c r="C2" s="791"/>
      <c r="D2" s="791"/>
      <c r="E2" s="791"/>
      <c r="F2" s="791"/>
      <c r="G2" s="791"/>
      <c r="H2" s="791"/>
      <c r="I2" s="791"/>
      <c r="J2" s="791"/>
    </row>
    <row r="3" spans="1:10" ht="14.1" customHeight="1">
      <c r="A3" s="792" t="e">
        <f>CONCATENATE(#REF!,#REF!,#REF!,#REF!,#REF!,#REF!,#REF!)</f>
        <v>#REF!</v>
      </c>
      <c r="B3" s="792"/>
      <c r="C3" s="792"/>
      <c r="D3" s="792"/>
      <c r="E3" s="792"/>
      <c r="F3" s="792"/>
      <c r="G3" s="808"/>
      <c r="H3" s="808"/>
      <c r="I3" s="808"/>
      <c r="J3" s="808"/>
    </row>
    <row r="4" spans="1:10" ht="15.75" customHeight="1">
      <c r="A4" s="115" t="e">
        <f>#REF!&amp;#REF!</f>
        <v>#REF!</v>
      </c>
      <c r="J4" s="106" t="s">
        <v>542</v>
      </c>
    </row>
    <row r="5" spans="1:10" s="1" customFormat="1" ht="27.75" customHeight="1">
      <c r="A5" s="2" t="s">
        <v>543</v>
      </c>
      <c r="B5" s="2" t="s">
        <v>595</v>
      </c>
      <c r="C5" s="2" t="s">
        <v>53</v>
      </c>
      <c r="D5" s="2" t="s">
        <v>426</v>
      </c>
      <c r="E5" s="2" t="s">
        <v>710</v>
      </c>
      <c r="F5" s="2" t="s">
        <v>315</v>
      </c>
      <c r="G5" s="2" t="s">
        <v>547</v>
      </c>
      <c r="H5" s="2" t="s">
        <v>1</v>
      </c>
      <c r="I5" s="2" t="s">
        <v>548</v>
      </c>
      <c r="J5" s="2" t="s">
        <v>549</v>
      </c>
    </row>
    <row r="6" spans="1:10" ht="15.75" customHeight="1">
      <c r="A6" s="105"/>
      <c r="B6" s="128"/>
      <c r="C6" s="121"/>
      <c r="D6" s="142"/>
      <c r="E6" s="142"/>
      <c r="F6" s="142"/>
      <c r="G6" s="142"/>
      <c r="H6" s="142"/>
      <c r="I6" s="142" t="str">
        <f t="shared" ref="I6:I25" si="0">IF(F6=0,"",(G6-F6)/F6*100)</f>
        <v/>
      </c>
      <c r="J6" s="120"/>
    </row>
    <row r="7" spans="1:10" ht="15.75" customHeight="1">
      <c r="A7" s="105"/>
      <c r="B7" s="128"/>
      <c r="C7" s="121"/>
      <c r="D7" s="142"/>
      <c r="E7" s="142"/>
      <c r="F7" s="142"/>
      <c r="G7" s="142"/>
      <c r="H7" s="142"/>
      <c r="I7" s="142" t="str">
        <f t="shared" si="0"/>
        <v/>
      </c>
      <c r="J7" s="120"/>
    </row>
    <row r="8" spans="1:10" ht="15.75" customHeight="1">
      <c r="A8" s="105"/>
      <c r="B8" s="128"/>
      <c r="C8" s="121"/>
      <c r="D8" s="142"/>
      <c r="E8" s="142"/>
      <c r="F8" s="142"/>
      <c r="G8" s="142"/>
      <c r="H8" s="142"/>
      <c r="I8" s="142" t="str">
        <f t="shared" si="0"/>
        <v/>
      </c>
      <c r="J8" s="120"/>
    </row>
    <row r="9" spans="1:10" ht="15.75" customHeight="1">
      <c r="A9" s="105"/>
      <c r="B9" s="128"/>
      <c r="C9" s="121"/>
      <c r="D9" s="142"/>
      <c r="E9" s="142"/>
      <c r="F9" s="142"/>
      <c r="G9" s="142"/>
      <c r="H9" s="142"/>
      <c r="I9" s="142" t="str">
        <f t="shared" si="0"/>
        <v/>
      </c>
      <c r="J9" s="120"/>
    </row>
    <row r="10" spans="1:10" ht="15.75" customHeight="1">
      <c r="A10" s="105"/>
      <c r="B10" s="128"/>
      <c r="C10" s="121"/>
      <c r="D10" s="142"/>
      <c r="E10" s="142"/>
      <c r="F10" s="142"/>
      <c r="G10" s="142"/>
      <c r="H10" s="142"/>
      <c r="I10" s="142" t="str">
        <f t="shared" si="0"/>
        <v/>
      </c>
      <c r="J10" s="120"/>
    </row>
    <row r="11" spans="1:10" ht="15.75" customHeight="1">
      <c r="A11" s="105"/>
      <c r="B11" s="128"/>
      <c r="C11" s="121"/>
      <c r="D11" s="142"/>
      <c r="E11" s="142"/>
      <c r="F11" s="142"/>
      <c r="G11" s="142"/>
      <c r="H11" s="142"/>
      <c r="I11" s="142" t="str">
        <f t="shared" si="0"/>
        <v/>
      </c>
      <c r="J11" s="120"/>
    </row>
    <row r="12" spans="1:10" ht="15.75" customHeight="1">
      <c r="A12" s="105"/>
      <c r="B12" s="128"/>
      <c r="C12" s="121"/>
      <c r="D12" s="142"/>
      <c r="E12" s="142"/>
      <c r="F12" s="142"/>
      <c r="G12" s="142"/>
      <c r="H12" s="142"/>
      <c r="I12" s="142" t="str">
        <f t="shared" si="0"/>
        <v/>
      </c>
      <c r="J12" s="120"/>
    </row>
    <row r="13" spans="1:10" ht="15.75" customHeight="1">
      <c r="A13" s="105"/>
      <c r="B13" s="128"/>
      <c r="C13" s="121"/>
      <c r="D13" s="142"/>
      <c r="E13" s="142"/>
      <c r="F13" s="142"/>
      <c r="G13" s="142"/>
      <c r="H13" s="142"/>
      <c r="I13" s="142" t="str">
        <f t="shared" si="0"/>
        <v/>
      </c>
      <c r="J13" s="120"/>
    </row>
    <row r="14" spans="1:10" ht="15.75" customHeight="1">
      <c r="A14" s="105"/>
      <c r="B14" s="128"/>
      <c r="C14" s="121"/>
      <c r="D14" s="142"/>
      <c r="E14" s="142"/>
      <c r="F14" s="142"/>
      <c r="G14" s="142"/>
      <c r="H14" s="142"/>
      <c r="I14" s="142" t="str">
        <f t="shared" si="0"/>
        <v/>
      </c>
      <c r="J14" s="120"/>
    </row>
    <row r="15" spans="1:10" ht="15.75" customHeight="1">
      <c r="A15" s="105"/>
      <c r="B15" s="128"/>
      <c r="C15" s="121"/>
      <c r="D15" s="142"/>
      <c r="E15" s="142"/>
      <c r="F15" s="142"/>
      <c r="G15" s="142"/>
      <c r="H15" s="142"/>
      <c r="I15" s="142" t="str">
        <f t="shared" si="0"/>
        <v/>
      </c>
      <c r="J15" s="120"/>
    </row>
    <row r="16" spans="1:10" ht="15.75" customHeight="1">
      <c r="A16" s="105"/>
      <c r="B16" s="128"/>
      <c r="C16" s="121"/>
      <c r="D16" s="142"/>
      <c r="E16" s="142"/>
      <c r="F16" s="142"/>
      <c r="G16" s="142"/>
      <c r="H16" s="142"/>
      <c r="I16" s="142" t="str">
        <f t="shared" si="0"/>
        <v/>
      </c>
      <c r="J16" s="120"/>
    </row>
    <row r="17" spans="1:10" ht="15.75" customHeight="1">
      <c r="A17" s="105"/>
      <c r="B17" s="128"/>
      <c r="C17" s="121"/>
      <c r="D17" s="142"/>
      <c r="E17" s="142"/>
      <c r="F17" s="142"/>
      <c r="G17" s="142"/>
      <c r="H17" s="142"/>
      <c r="I17" s="142" t="str">
        <f t="shared" si="0"/>
        <v/>
      </c>
      <c r="J17" s="120"/>
    </row>
    <row r="18" spans="1:10" ht="15.75" customHeight="1">
      <c r="A18" s="105"/>
      <c r="B18" s="128"/>
      <c r="C18" s="121"/>
      <c r="D18" s="142"/>
      <c r="E18" s="142"/>
      <c r="F18" s="142"/>
      <c r="G18" s="142"/>
      <c r="H18" s="142"/>
      <c r="I18" s="142" t="str">
        <f t="shared" si="0"/>
        <v/>
      </c>
      <c r="J18" s="120"/>
    </row>
    <row r="19" spans="1:10" ht="15.75" customHeight="1">
      <c r="A19" s="105"/>
      <c r="B19" s="128"/>
      <c r="C19" s="121"/>
      <c r="D19" s="142"/>
      <c r="E19" s="142"/>
      <c r="F19" s="142"/>
      <c r="G19" s="142"/>
      <c r="H19" s="142"/>
      <c r="I19" s="142" t="str">
        <f t="shared" si="0"/>
        <v/>
      </c>
      <c r="J19" s="120"/>
    </row>
    <row r="20" spans="1:10" ht="15.75" customHeight="1">
      <c r="A20" s="105"/>
      <c r="B20" s="128"/>
      <c r="C20" s="121"/>
      <c r="D20" s="142"/>
      <c r="E20" s="142"/>
      <c r="F20" s="142"/>
      <c r="G20" s="142"/>
      <c r="H20" s="142"/>
      <c r="I20" s="142" t="str">
        <f t="shared" si="0"/>
        <v/>
      </c>
      <c r="J20" s="120"/>
    </row>
    <row r="21" spans="1:10" ht="15.75" customHeight="1">
      <c r="A21" s="105"/>
      <c r="B21" s="128"/>
      <c r="C21" s="121"/>
      <c r="D21" s="142"/>
      <c r="E21" s="142"/>
      <c r="F21" s="142"/>
      <c r="G21" s="142"/>
      <c r="H21" s="142"/>
      <c r="I21" s="142" t="str">
        <f t="shared" si="0"/>
        <v/>
      </c>
      <c r="J21" s="120"/>
    </row>
    <row r="22" spans="1:10" ht="15.75" customHeight="1">
      <c r="A22" s="105"/>
      <c r="B22" s="128"/>
      <c r="C22" s="121"/>
      <c r="D22" s="142"/>
      <c r="E22" s="142"/>
      <c r="F22" s="142"/>
      <c r="G22" s="142"/>
      <c r="H22" s="142"/>
      <c r="I22" s="142" t="str">
        <f t="shared" si="0"/>
        <v/>
      </c>
      <c r="J22" s="120"/>
    </row>
    <row r="23" spans="1:10" ht="15.75" customHeight="1">
      <c r="A23" s="105"/>
      <c r="B23" s="128"/>
      <c r="C23" s="121"/>
      <c r="D23" s="142"/>
      <c r="E23" s="142"/>
      <c r="F23" s="142"/>
      <c r="G23" s="142"/>
      <c r="H23" s="142"/>
      <c r="I23" s="142" t="str">
        <f t="shared" si="0"/>
        <v/>
      </c>
      <c r="J23" s="120"/>
    </row>
    <row r="24" spans="1:10" ht="15.75" customHeight="1">
      <c r="A24" s="105"/>
      <c r="B24" s="128"/>
      <c r="C24" s="121"/>
      <c r="D24" s="142"/>
      <c r="E24" s="142"/>
      <c r="F24" s="142"/>
      <c r="G24" s="142"/>
      <c r="H24" s="142"/>
      <c r="I24" s="142" t="str">
        <f t="shared" si="0"/>
        <v/>
      </c>
      <c r="J24" s="120"/>
    </row>
    <row r="25" spans="1:10" ht="15.75" customHeight="1">
      <c r="A25" s="105"/>
      <c r="B25" s="128"/>
      <c r="C25" s="121"/>
      <c r="D25" s="142"/>
      <c r="E25" s="142"/>
      <c r="F25" s="142"/>
      <c r="G25" s="142"/>
      <c r="H25" s="142"/>
      <c r="I25" s="142" t="str">
        <f t="shared" si="0"/>
        <v/>
      </c>
      <c r="J25" s="120"/>
    </row>
    <row r="26" spans="1:10" ht="15.75" customHeight="1">
      <c r="A26" s="105"/>
      <c r="B26" s="128"/>
      <c r="C26" s="121"/>
      <c r="D26" s="142"/>
      <c r="E26" s="142"/>
      <c r="F26" s="142"/>
      <c r="G26" s="142"/>
      <c r="H26" s="142"/>
      <c r="I26" s="142"/>
      <c r="J26" s="120"/>
    </row>
    <row r="27" spans="1:10" ht="15.75" customHeight="1">
      <c r="A27" s="809" t="s">
        <v>596</v>
      </c>
      <c r="B27" s="810"/>
      <c r="C27" s="121"/>
      <c r="D27" s="142">
        <f>SUM(D6:D26)</f>
        <v>0</v>
      </c>
      <c r="E27" s="142"/>
      <c r="F27" s="142">
        <f>SUM(F6:F26)</f>
        <v>0</v>
      </c>
      <c r="G27" s="142">
        <f>SUM(G6:G26)</f>
        <v>0</v>
      </c>
      <c r="H27" s="142"/>
      <c r="I27" s="142" t="str">
        <f>IF(F27=0,"",(G27-F27)/F27*100)</f>
        <v/>
      </c>
      <c r="J27" s="120"/>
    </row>
    <row r="28" spans="1:10" ht="15.75" customHeight="1">
      <c r="A28" s="101" t="e">
        <f>#REF!&amp;#REF!</f>
        <v>#REF!</v>
      </c>
      <c r="F28" s="115" t="e">
        <f>"评估人员："&amp;#REF!</f>
        <v>#REF!</v>
      </c>
    </row>
    <row r="29" spans="1:10" ht="15.75" customHeight="1">
      <c r="A29" s="101" t="e">
        <f>CONCATENATE(#REF!,#REF!,#REF!,#REF!,#REF!,#REF!,#REF!)</f>
        <v>#REF!</v>
      </c>
    </row>
  </sheetData>
  <mergeCells count="3">
    <mergeCell ref="A2:J2"/>
    <mergeCell ref="A3:J3"/>
    <mergeCell ref="A27:B27"/>
  </mergeCells>
  <phoneticPr fontId="6" type="noConversion"/>
  <hyperlinks>
    <hyperlink ref="A1" location="索引目录!D50" display="开发支出"/>
    <hyperlink ref="B1" location="无形资产汇总!B12" display="开发支出"/>
  </hyperlinks>
  <printOptions horizontalCentered="1"/>
  <pageMargins left="0.35433070866141736" right="0.35433070866141736" top="0.78740157480314965" bottom="0.78740157480314965" header="1.06" footer="0.51181102362204722"/>
  <pageSetup paperSize="9" scale="88" fitToHeight="0" orientation="landscape" horizontalDpi="4294967292" r:id="rId1"/>
  <headerFooter alignWithMargins="0">
    <oddHeader>&amp;R&amp;"宋体,常规"&amp;10表&amp;"Times New Roman,常规"6-2
&amp;"宋体,常规"共&amp;"Times New Roman,常规"&amp;N&amp;"宋体,常规"页第&amp;"Times New Roman,常规"&amp;P&amp;"宋体,常规"页</oddHeader>
  </headerFooter>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8">
    <pageSetUpPr fitToPage="1"/>
  </sheetPr>
  <dimension ref="A1:J29"/>
  <sheetViews>
    <sheetView workbookViewId="0">
      <selection activeCell="H10" sqref="H10"/>
    </sheetView>
  </sheetViews>
  <sheetFormatPr defaultRowHeight="15.75" customHeight="1" outlineLevelCol="1"/>
  <cols>
    <col min="1" max="1" width="5.75" style="4" customWidth="1"/>
    <col min="2" max="2" width="22.25" style="4" customWidth="1"/>
    <col min="3" max="3" width="14.625" style="4" customWidth="1"/>
    <col min="4" max="5" width="17.625" style="4" customWidth="1" outlineLevel="1"/>
    <col min="6" max="6" width="19" style="4" customWidth="1"/>
    <col min="7" max="7" width="17.5" style="4" customWidth="1"/>
    <col min="8" max="8" width="15.75" style="4" customWidth="1"/>
    <col min="9" max="9" width="11.625" style="4" customWidth="1"/>
    <col min="10" max="10" width="16" style="4" customWidth="1"/>
    <col min="11" max="16384" width="9" style="4"/>
  </cols>
  <sheetData>
    <row r="1" spans="1:10" ht="14.25">
      <c r="A1" s="272" t="s">
        <v>130</v>
      </c>
      <c r="B1" s="196" t="s">
        <v>131</v>
      </c>
      <c r="C1" s="1"/>
      <c r="D1" s="1"/>
      <c r="E1" s="1"/>
      <c r="F1" s="1"/>
      <c r="G1" s="1"/>
      <c r="H1" s="1"/>
      <c r="I1" s="1"/>
      <c r="J1" s="1"/>
    </row>
    <row r="2" spans="1:10" s="114" customFormat="1" ht="30" customHeight="1">
      <c r="A2" s="790" t="s">
        <v>867</v>
      </c>
      <c r="B2" s="791"/>
      <c r="C2" s="791"/>
      <c r="D2" s="791"/>
      <c r="E2" s="791"/>
      <c r="F2" s="791"/>
      <c r="G2" s="791"/>
      <c r="H2" s="791"/>
      <c r="I2" s="791"/>
      <c r="J2" s="791"/>
    </row>
    <row r="3" spans="1:10" ht="14.1" customHeight="1">
      <c r="A3" s="792" t="e">
        <f>CONCATENATE(#REF!,#REF!,#REF!,#REF!,#REF!,#REF!,#REF!)</f>
        <v>#REF!</v>
      </c>
      <c r="B3" s="792"/>
      <c r="C3" s="792"/>
      <c r="D3" s="792"/>
      <c r="E3" s="792"/>
      <c r="F3" s="792"/>
      <c r="G3" s="808"/>
      <c r="H3" s="808"/>
      <c r="I3" s="808"/>
      <c r="J3" s="808"/>
    </row>
    <row r="4" spans="1:10" ht="15.75" customHeight="1">
      <c r="A4" s="115" t="e">
        <f>#REF!&amp;#REF!</f>
        <v>#REF!</v>
      </c>
      <c r="J4" s="106" t="s">
        <v>599</v>
      </c>
    </row>
    <row r="5" spans="1:10" s="1" customFormat="1" ht="27.75" customHeight="1">
      <c r="A5" s="2" t="s">
        <v>600</v>
      </c>
      <c r="B5" s="2" t="s">
        <v>601</v>
      </c>
      <c r="C5" s="2" t="s">
        <v>242</v>
      </c>
      <c r="D5" s="2" t="s">
        <v>426</v>
      </c>
      <c r="E5" s="2" t="s">
        <v>710</v>
      </c>
      <c r="F5" s="2" t="s">
        <v>315</v>
      </c>
      <c r="G5" s="2" t="s">
        <v>602</v>
      </c>
      <c r="H5" s="2" t="s">
        <v>1</v>
      </c>
      <c r="I5" s="2" t="s">
        <v>603</v>
      </c>
      <c r="J5" s="2" t="s">
        <v>604</v>
      </c>
    </row>
    <row r="6" spans="1:10" ht="15.75" customHeight="1">
      <c r="A6" s="105"/>
      <c r="B6" s="128"/>
      <c r="C6" s="121"/>
      <c r="D6" s="142"/>
      <c r="E6" s="142"/>
      <c r="F6" s="142"/>
      <c r="G6" s="142"/>
      <c r="H6" s="142"/>
      <c r="I6" s="142" t="str">
        <f>IF(F6=0,"",(G6-F6)/F6*100)</f>
        <v/>
      </c>
      <c r="J6" s="120"/>
    </row>
    <row r="7" spans="1:10" ht="15.75" customHeight="1">
      <c r="A7" s="105"/>
      <c r="B7" s="128"/>
      <c r="C7" s="121"/>
      <c r="D7" s="142"/>
      <c r="E7" s="142"/>
      <c r="F7" s="142"/>
      <c r="G7" s="142"/>
      <c r="H7" s="142"/>
      <c r="I7" s="142" t="str">
        <f t="shared" ref="I7:I27" si="0">IF(F7=0,"",(G7-F7)/F7*100)</f>
        <v/>
      </c>
      <c r="J7" s="120"/>
    </row>
    <row r="8" spans="1:10" ht="15.75" customHeight="1">
      <c r="A8" s="105"/>
      <c r="B8" s="128"/>
      <c r="C8" s="121"/>
      <c r="D8" s="142"/>
      <c r="E8" s="142"/>
      <c r="F8" s="142"/>
      <c r="G8" s="142"/>
      <c r="H8" s="142"/>
      <c r="I8" s="142" t="str">
        <f t="shared" si="0"/>
        <v/>
      </c>
      <c r="J8" s="120"/>
    </row>
    <row r="9" spans="1:10" ht="15.75" customHeight="1">
      <c r="A9" s="105"/>
      <c r="B9" s="128"/>
      <c r="C9" s="121"/>
      <c r="D9" s="142"/>
      <c r="E9" s="142"/>
      <c r="F9" s="142"/>
      <c r="G9" s="142"/>
      <c r="H9" s="142"/>
      <c r="I9" s="142" t="str">
        <f t="shared" si="0"/>
        <v/>
      </c>
      <c r="J9" s="120"/>
    </row>
    <row r="10" spans="1:10" ht="15.75" customHeight="1">
      <c r="A10" s="105"/>
      <c r="B10" s="128"/>
      <c r="C10" s="121"/>
      <c r="D10" s="142"/>
      <c r="E10" s="142"/>
      <c r="F10" s="142"/>
      <c r="G10" s="142"/>
      <c r="H10" s="142"/>
      <c r="I10" s="142" t="str">
        <f t="shared" si="0"/>
        <v/>
      </c>
      <c r="J10" s="120"/>
    </row>
    <row r="11" spans="1:10" ht="15.75" customHeight="1">
      <c r="A11" s="105"/>
      <c r="B11" s="128"/>
      <c r="C11" s="121"/>
      <c r="D11" s="142"/>
      <c r="E11" s="142"/>
      <c r="F11" s="142"/>
      <c r="G11" s="142"/>
      <c r="H11" s="142"/>
      <c r="I11" s="142" t="str">
        <f t="shared" si="0"/>
        <v/>
      </c>
      <c r="J11" s="120"/>
    </row>
    <row r="12" spans="1:10" ht="15.75" customHeight="1">
      <c r="A12" s="105"/>
      <c r="B12" s="128"/>
      <c r="C12" s="121"/>
      <c r="D12" s="142"/>
      <c r="E12" s="142"/>
      <c r="F12" s="142"/>
      <c r="G12" s="142"/>
      <c r="H12" s="142"/>
      <c r="I12" s="142" t="str">
        <f t="shared" si="0"/>
        <v/>
      </c>
      <c r="J12" s="120"/>
    </row>
    <row r="13" spans="1:10" ht="15.75" customHeight="1">
      <c r="A13" s="105"/>
      <c r="B13" s="128"/>
      <c r="C13" s="121"/>
      <c r="D13" s="142"/>
      <c r="E13" s="142"/>
      <c r="F13" s="142"/>
      <c r="G13" s="142"/>
      <c r="H13" s="142"/>
      <c r="I13" s="142" t="str">
        <f t="shared" si="0"/>
        <v/>
      </c>
      <c r="J13" s="120"/>
    </row>
    <row r="14" spans="1:10" ht="15.75" customHeight="1">
      <c r="A14" s="105"/>
      <c r="B14" s="128"/>
      <c r="C14" s="121"/>
      <c r="D14" s="142"/>
      <c r="E14" s="142"/>
      <c r="F14" s="142"/>
      <c r="G14" s="142"/>
      <c r="H14" s="142"/>
      <c r="I14" s="142" t="str">
        <f t="shared" si="0"/>
        <v/>
      </c>
      <c r="J14" s="120"/>
    </row>
    <row r="15" spans="1:10" ht="15.75" customHeight="1">
      <c r="A15" s="105"/>
      <c r="B15" s="128"/>
      <c r="C15" s="121"/>
      <c r="D15" s="142"/>
      <c r="E15" s="142"/>
      <c r="F15" s="142"/>
      <c r="G15" s="142"/>
      <c r="H15" s="142"/>
      <c r="I15" s="142" t="str">
        <f t="shared" si="0"/>
        <v/>
      </c>
      <c r="J15" s="120"/>
    </row>
    <row r="16" spans="1:10" ht="15.75" customHeight="1">
      <c r="A16" s="105"/>
      <c r="B16" s="128"/>
      <c r="C16" s="121"/>
      <c r="D16" s="142"/>
      <c r="E16" s="142"/>
      <c r="F16" s="142"/>
      <c r="G16" s="142"/>
      <c r="H16" s="142"/>
      <c r="I16" s="142" t="str">
        <f t="shared" si="0"/>
        <v/>
      </c>
      <c r="J16" s="120"/>
    </row>
    <row r="17" spans="1:10" ht="15.75" customHeight="1">
      <c r="A17" s="105"/>
      <c r="B17" s="128"/>
      <c r="C17" s="121"/>
      <c r="D17" s="142"/>
      <c r="E17" s="142"/>
      <c r="F17" s="142"/>
      <c r="G17" s="142"/>
      <c r="H17" s="142"/>
      <c r="I17" s="142" t="str">
        <f t="shared" si="0"/>
        <v/>
      </c>
      <c r="J17" s="120"/>
    </row>
    <row r="18" spans="1:10" ht="15.75" customHeight="1">
      <c r="A18" s="105"/>
      <c r="B18" s="128"/>
      <c r="C18" s="121"/>
      <c r="D18" s="142"/>
      <c r="E18" s="142"/>
      <c r="F18" s="142"/>
      <c r="G18" s="142"/>
      <c r="H18" s="142"/>
      <c r="I18" s="142" t="str">
        <f t="shared" si="0"/>
        <v/>
      </c>
      <c r="J18" s="120"/>
    </row>
    <row r="19" spans="1:10" ht="15.75" customHeight="1">
      <c r="A19" s="105"/>
      <c r="B19" s="128"/>
      <c r="C19" s="121"/>
      <c r="D19" s="142"/>
      <c r="E19" s="142"/>
      <c r="F19" s="142"/>
      <c r="G19" s="142"/>
      <c r="H19" s="142"/>
      <c r="I19" s="142" t="str">
        <f t="shared" si="0"/>
        <v/>
      </c>
      <c r="J19" s="120"/>
    </row>
    <row r="20" spans="1:10" ht="15.75" customHeight="1">
      <c r="A20" s="105"/>
      <c r="B20" s="128"/>
      <c r="C20" s="121"/>
      <c r="D20" s="142"/>
      <c r="E20" s="142"/>
      <c r="F20" s="142"/>
      <c r="G20" s="142"/>
      <c r="H20" s="142"/>
      <c r="I20" s="142" t="str">
        <f t="shared" si="0"/>
        <v/>
      </c>
      <c r="J20" s="120"/>
    </row>
    <row r="21" spans="1:10" ht="15.75" customHeight="1">
      <c r="A21" s="105"/>
      <c r="B21" s="128"/>
      <c r="C21" s="121"/>
      <c r="D21" s="142"/>
      <c r="E21" s="142"/>
      <c r="F21" s="142"/>
      <c r="G21" s="142"/>
      <c r="H21" s="142"/>
      <c r="I21" s="142" t="str">
        <f t="shared" si="0"/>
        <v/>
      </c>
      <c r="J21" s="120"/>
    </row>
    <row r="22" spans="1:10" ht="15.75" customHeight="1">
      <c r="A22" s="105"/>
      <c r="B22" s="128"/>
      <c r="C22" s="121"/>
      <c r="D22" s="142"/>
      <c r="E22" s="142"/>
      <c r="F22" s="142"/>
      <c r="G22" s="142"/>
      <c r="H22" s="142"/>
      <c r="I22" s="142" t="str">
        <f t="shared" si="0"/>
        <v/>
      </c>
      <c r="J22" s="120"/>
    </row>
    <row r="23" spans="1:10" ht="15.75" customHeight="1">
      <c r="A23" s="105"/>
      <c r="B23" s="128"/>
      <c r="C23" s="121"/>
      <c r="D23" s="142"/>
      <c r="E23" s="142"/>
      <c r="F23" s="142"/>
      <c r="G23" s="142"/>
      <c r="H23" s="142"/>
      <c r="I23" s="142" t="str">
        <f t="shared" si="0"/>
        <v/>
      </c>
      <c r="J23" s="120"/>
    </row>
    <row r="24" spans="1:10" ht="15.75" customHeight="1">
      <c r="A24" s="105"/>
      <c r="B24" s="128"/>
      <c r="C24" s="121"/>
      <c r="D24" s="142"/>
      <c r="E24" s="142"/>
      <c r="F24" s="142"/>
      <c r="G24" s="142"/>
      <c r="H24" s="142"/>
      <c r="I24" s="142" t="str">
        <f t="shared" si="0"/>
        <v/>
      </c>
      <c r="J24" s="120"/>
    </row>
    <row r="25" spans="1:10" ht="15.75" customHeight="1">
      <c r="A25" s="809" t="s">
        <v>550</v>
      </c>
      <c r="B25" s="810"/>
      <c r="C25" s="121"/>
      <c r="D25" s="142">
        <f>SUM(D6:D24)</f>
        <v>0</v>
      </c>
      <c r="E25" s="142"/>
      <c r="F25" s="142">
        <f>SUM(F6:F24)</f>
        <v>0</v>
      </c>
      <c r="G25" s="142">
        <f>SUM(G6:G24)</f>
        <v>0</v>
      </c>
      <c r="H25" s="142"/>
      <c r="I25" s="142" t="str">
        <f t="shared" si="0"/>
        <v/>
      </c>
      <c r="J25" s="120"/>
    </row>
    <row r="26" spans="1:10" ht="15.75" customHeight="1">
      <c r="A26" s="809" t="s">
        <v>605</v>
      </c>
      <c r="B26" s="847"/>
      <c r="C26" s="121"/>
      <c r="D26" s="142"/>
      <c r="E26" s="142"/>
      <c r="F26" s="142">
        <f>D26</f>
        <v>0</v>
      </c>
      <c r="G26" s="142">
        <v>0</v>
      </c>
      <c r="H26" s="142"/>
      <c r="I26" s="142" t="str">
        <f t="shared" si="0"/>
        <v/>
      </c>
      <c r="J26" s="120"/>
    </row>
    <row r="27" spans="1:10" ht="15.75" customHeight="1">
      <c r="A27" s="809" t="s">
        <v>418</v>
      </c>
      <c r="B27" s="810"/>
      <c r="C27" s="121"/>
      <c r="D27" s="142">
        <f>D25-D26</f>
        <v>0</v>
      </c>
      <c r="E27" s="142"/>
      <c r="F27" s="142">
        <f>F25-F26</f>
        <v>0</v>
      </c>
      <c r="G27" s="142">
        <f>G25-G26</f>
        <v>0</v>
      </c>
      <c r="H27" s="142"/>
      <c r="I27" s="142" t="str">
        <f t="shared" si="0"/>
        <v/>
      </c>
      <c r="J27" s="120"/>
    </row>
    <row r="28" spans="1:10" ht="15.75" customHeight="1">
      <c r="A28" s="101" t="e">
        <f>#REF!&amp;#REF!</f>
        <v>#REF!</v>
      </c>
      <c r="F28" s="115" t="e">
        <f>"评估人员："&amp;#REF!</f>
        <v>#REF!</v>
      </c>
    </row>
    <row r="29" spans="1:10" ht="15.75" customHeight="1">
      <c r="A29" s="101" t="e">
        <f>CONCATENATE(#REF!,#REF!,#REF!,#REF!,#REF!,#REF!,#REF!)</f>
        <v>#REF!</v>
      </c>
    </row>
  </sheetData>
  <mergeCells count="5">
    <mergeCell ref="A2:J2"/>
    <mergeCell ref="A3:J3"/>
    <mergeCell ref="A27:B27"/>
    <mergeCell ref="A25:B25"/>
    <mergeCell ref="A26:B26"/>
  </mergeCells>
  <phoneticPr fontId="6" type="noConversion"/>
  <hyperlinks>
    <hyperlink ref="A1" location="索引目录!D51" display="商誉"/>
    <hyperlink ref="B1" location="无形资产汇总!B14" display="商誉"/>
  </hyperlinks>
  <printOptions horizontalCentered="1"/>
  <pageMargins left="0.35433070866141736" right="0.35433070866141736" top="0.78740157480314965" bottom="0.78740157480314965" header="1.06" footer="0.51181102362204722"/>
  <pageSetup paperSize="9" scale="83" fitToHeight="0" orientation="landscape" horizontalDpi="4294967292" r:id="rId1"/>
  <headerFooter alignWithMargins="0">
    <oddHeader>&amp;R&amp;"宋体,常规"&amp;10表&amp;"Times New Roman,常规"4-14
&amp;"宋体,常规"共&amp;"Times New Roman,常规"&amp;N&amp;"宋体,常规"页第&amp;"Times New Roman,常规"&amp;P&amp;"宋体,常规"页</oddHeader>
  </headerFooter>
  <legacy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6">
    <pageSetUpPr fitToPage="1"/>
  </sheetPr>
  <dimension ref="A1:M29"/>
  <sheetViews>
    <sheetView workbookViewId="0">
      <selection activeCell="H10" sqref="H10"/>
    </sheetView>
  </sheetViews>
  <sheetFormatPr defaultRowHeight="15.75" customHeight="1" outlineLevelCol="1"/>
  <cols>
    <col min="1" max="1" width="5.125" style="4" customWidth="1"/>
    <col min="2" max="2" width="21" style="4" customWidth="1"/>
    <col min="3" max="3" width="9.5" style="4" customWidth="1"/>
    <col min="4" max="4" width="11.25" style="4" customWidth="1"/>
    <col min="5" max="5" width="8.125" style="4" customWidth="1"/>
    <col min="6" max="7" width="14.375" style="4" customWidth="1" outlineLevel="1"/>
    <col min="8" max="8" width="14.375" style="4" customWidth="1"/>
    <col min="9" max="9" width="7" style="4" customWidth="1"/>
    <col min="10" max="11" width="14.375" style="4" customWidth="1"/>
    <col min="12" max="12" width="8.125" style="4" customWidth="1"/>
    <col min="13" max="13" width="10" style="4" customWidth="1"/>
    <col min="14" max="16384" width="9" style="4"/>
  </cols>
  <sheetData>
    <row r="1" spans="1:13" ht="14.25">
      <c r="A1" s="272" t="s">
        <v>130</v>
      </c>
      <c r="B1" s="196" t="s">
        <v>131</v>
      </c>
      <c r="C1" s="1"/>
      <c r="D1" s="1"/>
      <c r="E1" s="1"/>
      <c r="F1" s="1"/>
      <c r="G1" s="1"/>
      <c r="H1" s="1"/>
      <c r="I1" s="1"/>
      <c r="J1" s="1"/>
      <c r="K1" s="1"/>
      <c r="L1" s="1"/>
      <c r="M1" s="1"/>
    </row>
    <row r="2" spans="1:13" s="114" customFormat="1" ht="30" customHeight="1">
      <c r="A2" s="790" t="s">
        <v>866</v>
      </c>
      <c r="B2" s="791"/>
      <c r="C2" s="791"/>
      <c r="D2" s="791"/>
      <c r="E2" s="791"/>
      <c r="F2" s="791"/>
      <c r="G2" s="791"/>
      <c r="H2" s="791"/>
      <c r="I2" s="791"/>
      <c r="J2" s="791"/>
      <c r="K2" s="791"/>
      <c r="L2" s="791"/>
      <c r="M2" s="791"/>
    </row>
    <row r="3" spans="1:13" ht="14.1" customHeight="1">
      <c r="A3" s="792" t="e">
        <f>CONCATENATE(#REF!,#REF!,#REF!,#REF!,#REF!,#REF!,#REF!)</f>
        <v>#REF!</v>
      </c>
      <c r="B3" s="792"/>
      <c r="C3" s="792"/>
      <c r="D3" s="792"/>
      <c r="E3" s="792"/>
      <c r="F3" s="792"/>
      <c r="G3" s="792"/>
      <c r="H3" s="792"/>
      <c r="I3" s="808"/>
      <c r="J3" s="808"/>
      <c r="K3" s="808"/>
      <c r="L3" s="808"/>
      <c r="M3" s="808"/>
    </row>
    <row r="4" spans="1:13" ht="15.75" customHeight="1">
      <c r="A4" s="115" t="e">
        <f>#REF!&amp;#REF!</f>
        <v>#REF!</v>
      </c>
      <c r="M4" s="106" t="s">
        <v>350</v>
      </c>
    </row>
    <row r="5" spans="1:13" s="1" customFormat="1" ht="27.75" customHeight="1">
      <c r="A5" s="2" t="s">
        <v>371</v>
      </c>
      <c r="B5" s="2" t="s">
        <v>372</v>
      </c>
      <c r="C5" s="2" t="s">
        <v>373</v>
      </c>
      <c r="D5" s="2" t="s">
        <v>374</v>
      </c>
      <c r="E5" s="2" t="s">
        <v>375</v>
      </c>
      <c r="F5" s="2" t="s">
        <v>426</v>
      </c>
      <c r="G5" s="2" t="s">
        <v>710</v>
      </c>
      <c r="H5" s="2" t="s">
        <v>315</v>
      </c>
      <c r="I5" s="2" t="s">
        <v>376</v>
      </c>
      <c r="J5" s="2" t="s">
        <v>353</v>
      </c>
      <c r="K5" s="2" t="s">
        <v>1</v>
      </c>
      <c r="L5" s="2" t="s">
        <v>355</v>
      </c>
      <c r="M5" s="2" t="s">
        <v>377</v>
      </c>
    </row>
    <row r="6" spans="1:13" ht="15.75" customHeight="1">
      <c r="A6" s="105"/>
      <c r="B6" s="111"/>
      <c r="C6" s="121"/>
      <c r="D6" s="142"/>
      <c r="E6" s="105"/>
      <c r="F6" s="142"/>
      <c r="G6" s="142"/>
      <c r="H6" s="142"/>
      <c r="I6" s="105"/>
      <c r="J6" s="142"/>
      <c r="K6" s="142"/>
      <c r="L6" s="142" t="str">
        <f>IF(H6=0,"",(J6-H6)/H6*100)</f>
        <v/>
      </c>
      <c r="M6" s="120"/>
    </row>
    <row r="7" spans="1:13" ht="15.75" customHeight="1">
      <c r="A7" s="105"/>
      <c r="B7" s="111"/>
      <c r="C7" s="121"/>
      <c r="D7" s="142"/>
      <c r="E7" s="105"/>
      <c r="F7" s="142"/>
      <c r="G7" s="142"/>
      <c r="H7" s="142"/>
      <c r="I7" s="105"/>
      <c r="J7" s="142"/>
      <c r="K7" s="142"/>
      <c r="L7" s="142" t="str">
        <f t="shared" ref="L7:L27" si="0">IF(H7=0,"",(J7-H7)/H7*100)</f>
        <v/>
      </c>
      <c r="M7" s="120"/>
    </row>
    <row r="8" spans="1:13" ht="15.75" customHeight="1">
      <c r="A8" s="105"/>
      <c r="B8" s="111"/>
      <c r="C8" s="121"/>
      <c r="D8" s="142"/>
      <c r="E8" s="105"/>
      <c r="F8" s="142"/>
      <c r="G8" s="142"/>
      <c r="H8" s="142"/>
      <c r="I8" s="105"/>
      <c r="J8" s="142"/>
      <c r="K8" s="142"/>
      <c r="L8" s="142" t="str">
        <f t="shared" si="0"/>
        <v/>
      </c>
      <c r="M8" s="120"/>
    </row>
    <row r="9" spans="1:13" ht="15.75" customHeight="1">
      <c r="A9" s="105"/>
      <c r="B9" s="111"/>
      <c r="C9" s="121"/>
      <c r="D9" s="142"/>
      <c r="E9" s="105"/>
      <c r="F9" s="142"/>
      <c r="G9" s="142"/>
      <c r="H9" s="142"/>
      <c r="I9" s="105"/>
      <c r="J9" s="142"/>
      <c r="K9" s="142"/>
      <c r="L9" s="142" t="str">
        <f t="shared" si="0"/>
        <v/>
      </c>
      <c r="M9" s="120"/>
    </row>
    <row r="10" spans="1:13" ht="15.75" customHeight="1">
      <c r="A10" s="105"/>
      <c r="B10" s="111"/>
      <c r="C10" s="121"/>
      <c r="D10" s="142"/>
      <c r="E10" s="105"/>
      <c r="F10" s="142"/>
      <c r="G10" s="142"/>
      <c r="H10" s="142"/>
      <c r="I10" s="105"/>
      <c r="J10" s="142"/>
      <c r="K10" s="142"/>
      <c r="L10" s="142" t="str">
        <f t="shared" si="0"/>
        <v/>
      </c>
      <c r="M10" s="120"/>
    </row>
    <row r="11" spans="1:13" ht="15.75" customHeight="1">
      <c r="A11" s="105"/>
      <c r="B11" s="111"/>
      <c r="C11" s="121"/>
      <c r="D11" s="142"/>
      <c r="E11" s="105"/>
      <c r="F11" s="142"/>
      <c r="G11" s="142"/>
      <c r="H11" s="142"/>
      <c r="I11" s="105"/>
      <c r="J11" s="142"/>
      <c r="K11" s="142"/>
      <c r="L11" s="142" t="str">
        <f t="shared" si="0"/>
        <v/>
      </c>
      <c r="M11" s="120"/>
    </row>
    <row r="12" spans="1:13" ht="15.75" customHeight="1">
      <c r="A12" s="105"/>
      <c r="B12" s="111"/>
      <c r="C12" s="121"/>
      <c r="D12" s="142"/>
      <c r="E12" s="105"/>
      <c r="F12" s="142"/>
      <c r="G12" s="142"/>
      <c r="H12" s="142"/>
      <c r="I12" s="105"/>
      <c r="J12" s="142"/>
      <c r="K12" s="142"/>
      <c r="L12" s="142" t="str">
        <f t="shared" si="0"/>
        <v/>
      </c>
      <c r="M12" s="120"/>
    </row>
    <row r="13" spans="1:13" ht="15.75" customHeight="1">
      <c r="A13" s="105"/>
      <c r="B13" s="128"/>
      <c r="C13" s="121"/>
      <c r="D13" s="142"/>
      <c r="E13" s="105"/>
      <c r="F13" s="142"/>
      <c r="G13" s="142"/>
      <c r="H13" s="142"/>
      <c r="I13" s="105"/>
      <c r="J13" s="142"/>
      <c r="K13" s="142"/>
      <c r="L13" s="142" t="str">
        <f t="shared" si="0"/>
        <v/>
      </c>
      <c r="M13" s="120"/>
    </row>
    <row r="14" spans="1:13" ht="15.75" customHeight="1">
      <c r="A14" s="105"/>
      <c r="B14" s="128"/>
      <c r="C14" s="121"/>
      <c r="D14" s="142"/>
      <c r="E14" s="105"/>
      <c r="F14" s="142"/>
      <c r="G14" s="142"/>
      <c r="H14" s="142"/>
      <c r="I14" s="105"/>
      <c r="J14" s="142"/>
      <c r="K14" s="142"/>
      <c r="L14" s="142" t="str">
        <f t="shared" si="0"/>
        <v/>
      </c>
      <c r="M14" s="120"/>
    </row>
    <row r="15" spans="1:13" ht="15.75" customHeight="1">
      <c r="A15" s="105"/>
      <c r="B15" s="128"/>
      <c r="C15" s="121"/>
      <c r="D15" s="142"/>
      <c r="E15" s="105"/>
      <c r="F15" s="142"/>
      <c r="G15" s="142"/>
      <c r="H15" s="142"/>
      <c r="I15" s="105"/>
      <c r="J15" s="142"/>
      <c r="K15" s="142"/>
      <c r="L15" s="142" t="str">
        <f t="shared" si="0"/>
        <v/>
      </c>
      <c r="M15" s="120"/>
    </row>
    <row r="16" spans="1:13" ht="15.75" customHeight="1">
      <c r="A16" s="105"/>
      <c r="B16" s="128"/>
      <c r="C16" s="121"/>
      <c r="D16" s="142"/>
      <c r="E16" s="105"/>
      <c r="F16" s="142"/>
      <c r="G16" s="142"/>
      <c r="H16" s="142"/>
      <c r="I16" s="105"/>
      <c r="J16" s="142"/>
      <c r="K16" s="142"/>
      <c r="L16" s="142" t="str">
        <f t="shared" si="0"/>
        <v/>
      </c>
      <c r="M16" s="120"/>
    </row>
    <row r="17" spans="1:13" ht="15.75" customHeight="1">
      <c r="A17" s="105"/>
      <c r="B17" s="128"/>
      <c r="C17" s="121"/>
      <c r="D17" s="142"/>
      <c r="E17" s="105"/>
      <c r="F17" s="142"/>
      <c r="G17" s="142"/>
      <c r="H17" s="142"/>
      <c r="I17" s="105"/>
      <c r="J17" s="142"/>
      <c r="K17" s="142"/>
      <c r="L17" s="142" t="str">
        <f t="shared" si="0"/>
        <v/>
      </c>
      <c r="M17" s="120"/>
    </row>
    <row r="18" spans="1:13" ht="15.75" customHeight="1">
      <c r="A18" s="105"/>
      <c r="B18" s="128"/>
      <c r="C18" s="121"/>
      <c r="D18" s="142"/>
      <c r="E18" s="105"/>
      <c r="F18" s="142"/>
      <c r="G18" s="142"/>
      <c r="H18" s="142"/>
      <c r="I18" s="105"/>
      <c r="J18" s="142"/>
      <c r="K18" s="142"/>
      <c r="L18" s="142" t="str">
        <f t="shared" si="0"/>
        <v/>
      </c>
      <c r="M18" s="120"/>
    </row>
    <row r="19" spans="1:13" ht="15.75" customHeight="1">
      <c r="A19" s="105"/>
      <c r="B19" s="128"/>
      <c r="C19" s="121"/>
      <c r="D19" s="142"/>
      <c r="E19" s="105"/>
      <c r="F19" s="142"/>
      <c r="G19" s="142"/>
      <c r="H19" s="142"/>
      <c r="I19" s="105"/>
      <c r="J19" s="142"/>
      <c r="K19" s="142"/>
      <c r="L19" s="142" t="str">
        <f t="shared" si="0"/>
        <v/>
      </c>
      <c r="M19" s="120"/>
    </row>
    <row r="20" spans="1:13" ht="15.75" customHeight="1">
      <c r="A20" s="105"/>
      <c r="B20" s="128"/>
      <c r="C20" s="121"/>
      <c r="D20" s="142"/>
      <c r="E20" s="105"/>
      <c r="F20" s="142"/>
      <c r="G20" s="142"/>
      <c r="H20" s="142"/>
      <c r="I20" s="105"/>
      <c r="J20" s="142"/>
      <c r="K20" s="142"/>
      <c r="L20" s="142" t="str">
        <f t="shared" si="0"/>
        <v/>
      </c>
      <c r="M20" s="120"/>
    </row>
    <row r="21" spans="1:13" ht="15.75" customHeight="1">
      <c r="A21" s="105"/>
      <c r="B21" s="128"/>
      <c r="C21" s="121"/>
      <c r="D21" s="142"/>
      <c r="E21" s="105"/>
      <c r="F21" s="142"/>
      <c r="G21" s="142"/>
      <c r="H21" s="142"/>
      <c r="I21" s="105"/>
      <c r="J21" s="142"/>
      <c r="K21" s="142"/>
      <c r="L21" s="142" t="str">
        <f t="shared" si="0"/>
        <v/>
      </c>
      <c r="M21" s="120"/>
    </row>
    <row r="22" spans="1:13" ht="15.75" customHeight="1">
      <c r="A22" s="105"/>
      <c r="B22" s="128"/>
      <c r="C22" s="121"/>
      <c r="D22" s="142"/>
      <c r="E22" s="105"/>
      <c r="F22" s="142"/>
      <c r="G22" s="142"/>
      <c r="H22" s="142"/>
      <c r="I22" s="105"/>
      <c r="J22" s="142"/>
      <c r="K22" s="142"/>
      <c r="L22" s="142" t="str">
        <f t="shared" si="0"/>
        <v/>
      </c>
      <c r="M22" s="120"/>
    </row>
    <row r="23" spans="1:13" ht="15.75" customHeight="1">
      <c r="A23" s="105"/>
      <c r="B23" s="128"/>
      <c r="C23" s="121"/>
      <c r="D23" s="142"/>
      <c r="E23" s="105"/>
      <c r="F23" s="142"/>
      <c r="G23" s="142"/>
      <c r="H23" s="142"/>
      <c r="I23" s="105"/>
      <c r="J23" s="142"/>
      <c r="K23" s="142"/>
      <c r="L23" s="142" t="str">
        <f t="shared" si="0"/>
        <v/>
      </c>
      <c r="M23" s="120"/>
    </row>
    <row r="24" spans="1:13" ht="15.75" customHeight="1">
      <c r="A24" s="105"/>
      <c r="B24" s="128"/>
      <c r="C24" s="121"/>
      <c r="D24" s="142"/>
      <c r="E24" s="105"/>
      <c r="F24" s="142"/>
      <c r="G24" s="142"/>
      <c r="H24" s="142"/>
      <c r="I24" s="105"/>
      <c r="J24" s="142"/>
      <c r="K24" s="142"/>
      <c r="L24" s="142" t="str">
        <f t="shared" si="0"/>
        <v/>
      </c>
      <c r="M24" s="120"/>
    </row>
    <row r="25" spans="1:13" ht="15.75" customHeight="1">
      <c r="A25" s="105"/>
      <c r="B25" s="128"/>
      <c r="C25" s="121"/>
      <c r="D25" s="142"/>
      <c r="E25" s="105"/>
      <c r="F25" s="142"/>
      <c r="G25" s="142"/>
      <c r="H25" s="142"/>
      <c r="I25" s="105"/>
      <c r="J25" s="142"/>
      <c r="K25" s="142"/>
      <c r="L25" s="142" t="str">
        <f t="shared" si="0"/>
        <v/>
      </c>
      <c r="M25" s="120"/>
    </row>
    <row r="26" spans="1:13" ht="15.75" customHeight="1">
      <c r="A26" s="105"/>
      <c r="B26" s="111"/>
      <c r="C26" s="121"/>
      <c r="D26" s="142"/>
      <c r="E26" s="105"/>
      <c r="F26" s="142"/>
      <c r="G26" s="142"/>
      <c r="H26" s="142"/>
      <c r="I26" s="105"/>
      <c r="J26" s="142"/>
      <c r="K26" s="142"/>
      <c r="L26" s="142"/>
      <c r="M26" s="120"/>
    </row>
    <row r="27" spans="1:13" ht="15.75" customHeight="1">
      <c r="A27" s="809" t="s">
        <v>330</v>
      </c>
      <c r="B27" s="810"/>
      <c r="C27" s="121"/>
      <c r="D27" s="142"/>
      <c r="E27" s="105"/>
      <c r="F27" s="142">
        <f>SUM(F6:F26)</f>
        <v>0</v>
      </c>
      <c r="G27" s="142"/>
      <c r="H27" s="142">
        <f>SUM(H6:H26)</f>
        <v>0</v>
      </c>
      <c r="I27" s="105"/>
      <c r="J27" s="142">
        <f>SUM(J6:J26)</f>
        <v>0</v>
      </c>
      <c r="K27" s="142"/>
      <c r="L27" s="142" t="str">
        <f t="shared" si="0"/>
        <v/>
      </c>
      <c r="M27" s="120"/>
    </row>
    <row r="28" spans="1:13" ht="15.75" customHeight="1">
      <c r="A28" s="101" t="e">
        <f>#REF!&amp;#REF!</f>
        <v>#REF!</v>
      </c>
      <c r="H28" s="4" t="e">
        <f>"评估人员："&amp;#REF!</f>
        <v>#REF!</v>
      </c>
    </row>
    <row r="29" spans="1:13" ht="15.75" customHeight="1">
      <c r="A29" s="101" t="e">
        <f>CONCATENATE(#REF!,#REF!,#REF!,#REF!,#REF!,#REF!,#REF!)</f>
        <v>#REF!</v>
      </c>
    </row>
  </sheetData>
  <mergeCells count="3">
    <mergeCell ref="A2:M2"/>
    <mergeCell ref="A3:M3"/>
    <mergeCell ref="A27:B27"/>
  </mergeCells>
  <phoneticPr fontId="6" type="noConversion"/>
  <hyperlinks>
    <hyperlink ref="A1" location="索引目录!D52" display="长期待摊费用"/>
    <hyperlink ref="B1" location="分类汇总!B34" display="长期待摊费用"/>
  </hyperlinks>
  <printOptions horizontalCentered="1"/>
  <pageMargins left="0.35433070866141736" right="0.35433070866141736" top="0.78740157480314965" bottom="0.78740157480314965" header="1.05" footer="0.51181102362204722"/>
  <pageSetup paperSize="9" scale="86" fitToHeight="0" orientation="landscape" horizontalDpi="4294967292" r:id="rId1"/>
  <headerFooter alignWithMargins="0">
    <oddHeader>&amp;R&amp;"宋体,常规"&amp;10表&amp;"Times New Roman,常规"4-15
&amp;"宋体,常规"共&amp;"Times New Roman,常规"&amp;N&amp;"宋体,常规"页第&amp;"Times New Roman,常规"&amp;P&amp;"宋体,常规"页</oddHeader>
  </headerFooter>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H29"/>
  <sheetViews>
    <sheetView workbookViewId="0">
      <selection activeCell="H10" sqref="H10"/>
    </sheetView>
  </sheetViews>
  <sheetFormatPr defaultRowHeight="15.75" customHeight="1" outlineLevelCol="1"/>
  <cols>
    <col min="1" max="1" width="7.125" style="4" customWidth="1"/>
    <col min="2" max="2" width="27.875" style="4" customWidth="1"/>
    <col min="3" max="3" width="15.25" style="4" customWidth="1"/>
    <col min="4" max="5" width="19.375" style="4" customWidth="1" outlineLevel="1"/>
    <col min="6" max="6" width="27.875" style="4" customWidth="1"/>
    <col min="7" max="7" width="28.875" style="4" customWidth="1"/>
    <col min="8" max="8" width="15.625" style="4" customWidth="1"/>
    <col min="9" max="16384" width="9" style="4"/>
  </cols>
  <sheetData>
    <row r="1" spans="1:8" ht="14.25">
      <c r="A1" s="272" t="s">
        <v>130</v>
      </c>
      <c r="B1" s="200" t="s">
        <v>131</v>
      </c>
      <c r="C1" s="116"/>
      <c r="D1" s="116"/>
      <c r="E1" s="116"/>
      <c r="F1" s="116"/>
      <c r="G1" s="116"/>
      <c r="H1" s="116"/>
    </row>
    <row r="2" spans="1:8" s="114" customFormat="1" ht="30" customHeight="1">
      <c r="A2" s="790" t="s">
        <v>865</v>
      </c>
      <c r="B2" s="828"/>
      <c r="C2" s="828"/>
      <c r="D2" s="828"/>
      <c r="E2" s="828"/>
      <c r="F2" s="828"/>
      <c r="G2" s="828"/>
      <c r="H2" s="828"/>
    </row>
    <row r="3" spans="1:8" ht="14.1" customHeight="1">
      <c r="A3" s="792" t="e">
        <f>CONCATENATE(#REF!,#REF!,#REF!,#REF!,#REF!,#REF!,#REF!)</f>
        <v>#REF!</v>
      </c>
      <c r="B3" s="792"/>
      <c r="C3" s="792"/>
      <c r="D3" s="792"/>
      <c r="E3" s="792"/>
      <c r="F3" s="792"/>
      <c r="G3" s="792"/>
      <c r="H3" s="792"/>
    </row>
    <row r="4" spans="1:8" ht="15.75" customHeight="1">
      <c r="A4" s="115" t="e">
        <f>#REF!&amp;#REF!</f>
        <v>#REF!</v>
      </c>
      <c r="H4" s="106" t="s">
        <v>3</v>
      </c>
    </row>
    <row r="5" spans="1:8" s="1" customFormat="1" ht="15.75" customHeight="1">
      <c r="A5" s="2" t="s">
        <v>4</v>
      </c>
      <c r="B5" s="2" t="s">
        <v>241</v>
      </c>
      <c r="C5" s="2" t="s">
        <v>242</v>
      </c>
      <c r="D5" s="2" t="s">
        <v>426</v>
      </c>
      <c r="E5" s="2" t="s">
        <v>710</v>
      </c>
      <c r="F5" s="2" t="s">
        <v>315</v>
      </c>
      <c r="G5" s="2" t="s">
        <v>0</v>
      </c>
      <c r="H5" s="2" t="s">
        <v>72</v>
      </c>
    </row>
    <row r="6" spans="1:8" ht="15.75" customHeight="1">
      <c r="A6" s="105"/>
      <c r="B6" s="128"/>
      <c r="C6" s="121"/>
      <c r="D6" s="163"/>
      <c r="E6" s="163"/>
      <c r="F6" s="163"/>
      <c r="G6" s="163"/>
      <c r="H6" s="120"/>
    </row>
    <row r="7" spans="1:8" ht="15.75" customHeight="1">
      <c r="A7" s="105"/>
      <c r="B7" s="128"/>
      <c r="C7" s="121"/>
      <c r="D7" s="163"/>
      <c r="E7" s="163"/>
      <c r="F7" s="163"/>
      <c r="G7" s="163"/>
      <c r="H7" s="120"/>
    </row>
    <row r="8" spans="1:8" ht="15.75" customHeight="1">
      <c r="A8" s="105"/>
      <c r="B8" s="128"/>
      <c r="C8" s="121"/>
      <c r="D8" s="163"/>
      <c r="E8" s="163"/>
      <c r="F8" s="163"/>
      <c r="G8" s="163"/>
      <c r="H8" s="120"/>
    </row>
    <row r="9" spans="1:8" ht="15.75" customHeight="1">
      <c r="A9" s="105"/>
      <c r="B9" s="128"/>
      <c r="C9" s="121"/>
      <c r="D9" s="163"/>
      <c r="E9" s="163"/>
      <c r="F9" s="163"/>
      <c r="G9" s="163"/>
      <c r="H9" s="120"/>
    </row>
    <row r="10" spans="1:8" ht="15.75" customHeight="1">
      <c r="A10" s="105"/>
      <c r="B10" s="128"/>
      <c r="C10" s="121"/>
      <c r="D10" s="163"/>
      <c r="E10" s="163"/>
      <c r="F10" s="163"/>
      <c r="G10" s="163"/>
      <c r="H10" s="120"/>
    </row>
    <row r="11" spans="1:8" ht="15.75" customHeight="1">
      <c r="A11" s="105"/>
      <c r="B11" s="128"/>
      <c r="C11" s="121"/>
      <c r="D11" s="163"/>
      <c r="E11" s="163"/>
      <c r="F11" s="163"/>
      <c r="G11" s="163"/>
      <c r="H11" s="120"/>
    </row>
    <row r="12" spans="1:8" ht="15.75" customHeight="1">
      <c r="A12" s="105"/>
      <c r="B12" s="128"/>
      <c r="C12" s="121"/>
      <c r="D12" s="163"/>
      <c r="E12" s="163"/>
      <c r="F12" s="163"/>
      <c r="G12" s="163"/>
      <c r="H12" s="120"/>
    </row>
    <row r="13" spans="1:8" ht="15.75" customHeight="1">
      <c r="A13" s="105"/>
      <c r="B13" s="128"/>
      <c r="C13" s="121"/>
      <c r="D13" s="163"/>
      <c r="E13" s="163"/>
      <c r="F13" s="163"/>
      <c r="G13" s="163"/>
      <c r="H13" s="120"/>
    </row>
    <row r="14" spans="1:8" ht="15.75" customHeight="1">
      <c r="A14" s="105"/>
      <c r="B14" s="128"/>
      <c r="C14" s="121"/>
      <c r="D14" s="163"/>
      <c r="E14" s="163"/>
      <c r="F14" s="163"/>
      <c r="G14" s="163"/>
      <c r="H14" s="120"/>
    </row>
    <row r="15" spans="1:8" ht="15.75" customHeight="1">
      <c r="A15" s="105"/>
      <c r="B15" s="128"/>
      <c r="C15" s="121"/>
      <c r="D15" s="163"/>
      <c r="E15" s="163"/>
      <c r="F15" s="163"/>
      <c r="G15" s="163"/>
      <c r="H15" s="120"/>
    </row>
    <row r="16" spans="1:8" ht="15.75" customHeight="1">
      <c r="A16" s="105"/>
      <c r="B16" s="128"/>
      <c r="C16" s="121"/>
      <c r="D16" s="163"/>
      <c r="E16" s="163"/>
      <c r="F16" s="163"/>
      <c r="G16" s="163"/>
      <c r="H16" s="120"/>
    </row>
    <row r="17" spans="1:8" ht="15.75" customHeight="1">
      <c r="A17" s="105"/>
      <c r="B17" s="128"/>
      <c r="C17" s="121"/>
      <c r="D17" s="163"/>
      <c r="E17" s="163"/>
      <c r="F17" s="163"/>
      <c r="G17" s="163"/>
      <c r="H17" s="120"/>
    </row>
    <row r="18" spans="1:8" ht="15.75" customHeight="1">
      <c r="A18" s="105"/>
      <c r="B18" s="128"/>
      <c r="C18" s="121"/>
      <c r="D18" s="163"/>
      <c r="E18" s="163"/>
      <c r="F18" s="163"/>
      <c r="G18" s="163"/>
      <c r="H18" s="120"/>
    </row>
    <row r="19" spans="1:8" ht="15.75" customHeight="1">
      <c r="A19" s="105"/>
      <c r="B19" s="128"/>
      <c r="C19" s="121"/>
      <c r="D19" s="163"/>
      <c r="E19" s="163"/>
      <c r="F19" s="163"/>
      <c r="G19" s="163"/>
      <c r="H19" s="120"/>
    </row>
    <row r="20" spans="1:8" ht="15.75" customHeight="1">
      <c r="A20" s="105"/>
      <c r="B20" s="128"/>
      <c r="C20" s="121"/>
      <c r="D20" s="163"/>
      <c r="E20" s="163"/>
      <c r="F20" s="163"/>
      <c r="G20" s="163"/>
      <c r="H20" s="120"/>
    </row>
    <row r="21" spans="1:8" ht="15.75" customHeight="1">
      <c r="A21" s="105"/>
      <c r="B21" s="128"/>
      <c r="C21" s="121"/>
      <c r="D21" s="163"/>
      <c r="E21" s="163"/>
      <c r="F21" s="163"/>
      <c r="G21" s="163"/>
      <c r="H21" s="120"/>
    </row>
    <row r="22" spans="1:8" ht="15.75" customHeight="1">
      <c r="A22" s="105"/>
      <c r="B22" s="128"/>
      <c r="C22" s="121"/>
      <c r="D22" s="163"/>
      <c r="E22" s="163"/>
      <c r="F22" s="163"/>
      <c r="G22" s="163"/>
      <c r="H22" s="120"/>
    </row>
    <row r="23" spans="1:8" ht="15.75" customHeight="1">
      <c r="A23" s="105"/>
      <c r="B23" s="128"/>
      <c r="C23" s="121"/>
      <c r="D23" s="163"/>
      <c r="E23" s="163"/>
      <c r="F23" s="163"/>
      <c r="G23" s="163"/>
      <c r="H23" s="120"/>
    </row>
    <row r="24" spans="1:8" ht="15.75" customHeight="1">
      <c r="A24" s="105"/>
      <c r="B24" s="128"/>
      <c r="C24" s="121"/>
      <c r="D24" s="163"/>
      <c r="E24" s="163"/>
      <c r="F24" s="163"/>
      <c r="G24" s="163"/>
      <c r="H24" s="120"/>
    </row>
    <row r="25" spans="1:8" ht="15.75" customHeight="1">
      <c r="A25" s="105"/>
      <c r="B25" s="128"/>
      <c r="C25" s="121"/>
      <c r="D25" s="163"/>
      <c r="E25" s="163"/>
      <c r="F25" s="163"/>
      <c r="G25" s="163"/>
      <c r="H25" s="120"/>
    </row>
    <row r="26" spans="1:8" ht="15.75" customHeight="1">
      <c r="A26" s="105"/>
      <c r="B26" s="128"/>
      <c r="C26" s="121"/>
      <c r="D26" s="163"/>
      <c r="E26" s="163"/>
      <c r="F26" s="163"/>
      <c r="G26" s="163"/>
      <c r="H26" s="120"/>
    </row>
    <row r="27" spans="1:8" ht="15.75" customHeight="1">
      <c r="A27" s="809" t="s">
        <v>57</v>
      </c>
      <c r="B27" s="810"/>
      <c r="C27" s="121"/>
      <c r="D27" s="163">
        <f>SUM(D6:D26)</f>
        <v>0</v>
      </c>
      <c r="E27" s="163"/>
      <c r="F27" s="163">
        <f>SUM(F6:F26)</f>
        <v>0</v>
      </c>
      <c r="G27" s="163">
        <f>SUM(G6:G26)</f>
        <v>0</v>
      </c>
      <c r="H27" s="120"/>
    </row>
    <row r="28" spans="1:8" ht="15.75" customHeight="1">
      <c r="A28" s="101" t="e">
        <f>#REF!&amp;#REF!</f>
        <v>#REF!</v>
      </c>
      <c r="F28" s="115" t="e">
        <f>"评估人员："&amp;#REF!</f>
        <v>#REF!</v>
      </c>
    </row>
    <row r="29" spans="1:8" ht="15.75" customHeight="1">
      <c r="A29" s="101" t="e">
        <f>CONCATENATE(#REF!,#REF!,#REF!,#REF!,#REF!,#REF!,#REF!)</f>
        <v>#REF!</v>
      </c>
    </row>
  </sheetData>
  <mergeCells count="3">
    <mergeCell ref="A2:H2"/>
    <mergeCell ref="A3:H3"/>
    <mergeCell ref="A27:B27"/>
  </mergeCells>
  <phoneticPr fontId="6" type="noConversion"/>
  <hyperlinks>
    <hyperlink ref="A1" location="索引目录!D53" display="递延所得税资产"/>
    <hyperlink ref="B1" location="分类汇总!B35" display="递延所得税资产"/>
  </hyperlinks>
  <printOptions horizontalCentered="1"/>
  <pageMargins left="0.35433070866141736" right="0.35433070866141736" top="0.78740157480314965" bottom="0.78740157480314965" header="1.05" footer="0.51181102362204722"/>
  <pageSetup paperSize="9" scale="81" fitToHeight="0" orientation="landscape" horizontalDpi="4294967292" r:id="rId1"/>
  <headerFooter alignWithMargins="0">
    <oddHeader>&amp;R&amp;"宋体,常规"&amp;10表&amp;"Times New Roman,常规"4-16
&amp;"宋体,常规"共&amp;"Times New Roman,常规"&amp;N&amp;"宋体,常规"页第&amp;"Times New Roman,常规"&amp;P&amp;"宋体,常规"页</oddHead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7">
    <pageSetUpPr fitToPage="1"/>
  </sheetPr>
  <dimension ref="A1:I29"/>
  <sheetViews>
    <sheetView workbookViewId="0">
      <selection activeCell="H10" sqref="H10"/>
    </sheetView>
  </sheetViews>
  <sheetFormatPr defaultRowHeight="15.75" customHeight="1" outlineLevelCol="1"/>
  <cols>
    <col min="1" max="1" width="6.25" style="4" customWidth="1"/>
    <col min="2" max="2" width="26.625" style="4" customWidth="1"/>
    <col min="3" max="3" width="12.5" style="4" customWidth="1"/>
    <col min="4" max="5" width="16.25" style="4" customWidth="1" outlineLevel="1"/>
    <col min="6" max="6" width="22.25" style="4" customWidth="1"/>
    <col min="7" max="7" width="22.125" style="4" customWidth="1"/>
    <col min="8" max="8" width="15.25" style="4" customWidth="1"/>
    <col min="9" max="9" width="16.5" style="4" customWidth="1"/>
    <col min="10" max="16384" width="9" style="4"/>
  </cols>
  <sheetData>
    <row r="1" spans="1:9" ht="14.25">
      <c r="A1" s="272" t="s">
        <v>130</v>
      </c>
      <c r="B1" s="317" t="s">
        <v>131</v>
      </c>
      <c r="C1" s="1"/>
      <c r="D1" s="1"/>
      <c r="E1" s="1"/>
      <c r="F1" s="1"/>
      <c r="G1" s="1"/>
      <c r="H1" s="1"/>
      <c r="I1" s="1"/>
    </row>
    <row r="2" spans="1:9" s="114" customFormat="1" ht="30" customHeight="1">
      <c r="A2" s="790" t="s">
        <v>864</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3</v>
      </c>
    </row>
    <row r="5" spans="1:9" s="1" customFormat="1" ht="15.75" customHeight="1">
      <c r="A5" s="2" t="s">
        <v>4</v>
      </c>
      <c r="B5" s="2" t="s">
        <v>241</v>
      </c>
      <c r="C5" s="2" t="s">
        <v>242</v>
      </c>
      <c r="D5" s="2" t="s">
        <v>426</v>
      </c>
      <c r="E5" s="2" t="s">
        <v>710</v>
      </c>
      <c r="F5" s="2" t="s">
        <v>315</v>
      </c>
      <c r="G5" s="2" t="s">
        <v>0</v>
      </c>
      <c r="H5" s="2" t="s">
        <v>20</v>
      </c>
      <c r="I5" s="2" t="s">
        <v>72</v>
      </c>
    </row>
    <row r="6" spans="1:9" ht="15.75" customHeight="1">
      <c r="A6" s="105"/>
      <c r="B6" s="128"/>
      <c r="C6" s="121"/>
      <c r="D6" s="142"/>
      <c r="E6" s="142"/>
      <c r="F6" s="142"/>
      <c r="G6" s="142"/>
      <c r="H6" s="142" t="str">
        <f t="shared" ref="H6:H25" si="0">IF(F6=0,"",(G6-F6)/F6*100)</f>
        <v/>
      </c>
      <c r="I6" s="120"/>
    </row>
    <row r="7" spans="1:9" ht="15.75" customHeight="1">
      <c r="A7" s="105"/>
      <c r="B7" s="128"/>
      <c r="C7" s="121"/>
      <c r="D7" s="142"/>
      <c r="E7" s="142"/>
      <c r="F7" s="142"/>
      <c r="G7" s="142"/>
      <c r="H7" s="142" t="str">
        <f t="shared" si="0"/>
        <v/>
      </c>
      <c r="I7" s="120"/>
    </row>
    <row r="8" spans="1:9" ht="15.75" customHeight="1">
      <c r="A8" s="105"/>
      <c r="B8" s="128"/>
      <c r="C8" s="121"/>
      <c r="D8" s="142"/>
      <c r="E8" s="142"/>
      <c r="F8" s="142"/>
      <c r="G8" s="142"/>
      <c r="H8" s="142" t="str">
        <f t="shared" si="0"/>
        <v/>
      </c>
      <c r="I8" s="120"/>
    </row>
    <row r="9" spans="1:9" ht="15.75" customHeight="1">
      <c r="A9" s="105"/>
      <c r="B9" s="128"/>
      <c r="C9" s="121"/>
      <c r="D9" s="142"/>
      <c r="E9" s="142"/>
      <c r="F9" s="142"/>
      <c r="G9" s="142"/>
      <c r="H9" s="142" t="str">
        <f t="shared" si="0"/>
        <v/>
      </c>
      <c r="I9" s="120"/>
    </row>
    <row r="10" spans="1:9" ht="15.75" customHeight="1">
      <c r="A10" s="105"/>
      <c r="B10" s="128"/>
      <c r="C10" s="121"/>
      <c r="D10" s="142"/>
      <c r="E10" s="142"/>
      <c r="F10" s="142"/>
      <c r="G10" s="142"/>
      <c r="H10" s="142" t="str">
        <f t="shared" si="0"/>
        <v/>
      </c>
      <c r="I10" s="120"/>
    </row>
    <row r="11" spans="1:9" ht="15.75" customHeight="1">
      <c r="A11" s="105"/>
      <c r="B11" s="128"/>
      <c r="C11" s="121"/>
      <c r="D11" s="142"/>
      <c r="E11" s="142"/>
      <c r="F11" s="142"/>
      <c r="G11" s="142"/>
      <c r="H11" s="142" t="str">
        <f t="shared" si="0"/>
        <v/>
      </c>
      <c r="I11" s="120"/>
    </row>
    <row r="12" spans="1:9" ht="15.75" customHeight="1">
      <c r="A12" s="105"/>
      <c r="B12" s="128"/>
      <c r="C12" s="121"/>
      <c r="D12" s="142"/>
      <c r="E12" s="142"/>
      <c r="F12" s="142"/>
      <c r="G12" s="142"/>
      <c r="H12" s="142" t="str">
        <f t="shared" si="0"/>
        <v/>
      </c>
      <c r="I12" s="120"/>
    </row>
    <row r="13" spans="1:9" ht="15.75" customHeight="1">
      <c r="A13" s="105"/>
      <c r="B13" s="128"/>
      <c r="C13" s="121"/>
      <c r="D13" s="142"/>
      <c r="E13" s="142"/>
      <c r="F13" s="142"/>
      <c r="G13" s="142"/>
      <c r="H13" s="142" t="str">
        <f t="shared" si="0"/>
        <v/>
      </c>
      <c r="I13" s="120"/>
    </row>
    <row r="14" spans="1:9" ht="15.75" customHeight="1">
      <c r="A14" s="105"/>
      <c r="B14" s="128"/>
      <c r="C14" s="121"/>
      <c r="D14" s="142"/>
      <c r="E14" s="142"/>
      <c r="F14" s="142"/>
      <c r="G14" s="142"/>
      <c r="H14" s="142" t="str">
        <f t="shared" si="0"/>
        <v/>
      </c>
      <c r="I14" s="120"/>
    </row>
    <row r="15" spans="1:9" ht="15.75" customHeight="1">
      <c r="A15" s="105"/>
      <c r="B15" s="128"/>
      <c r="C15" s="121"/>
      <c r="D15" s="142"/>
      <c r="E15" s="142"/>
      <c r="F15" s="142"/>
      <c r="G15" s="142"/>
      <c r="H15" s="142" t="str">
        <f t="shared" si="0"/>
        <v/>
      </c>
      <c r="I15" s="120"/>
    </row>
    <row r="16" spans="1:9" ht="15.75" customHeight="1">
      <c r="A16" s="105"/>
      <c r="B16" s="128"/>
      <c r="C16" s="121"/>
      <c r="D16" s="142"/>
      <c r="E16" s="142"/>
      <c r="F16" s="142"/>
      <c r="G16" s="142"/>
      <c r="H16" s="142" t="str">
        <f t="shared" si="0"/>
        <v/>
      </c>
      <c r="I16" s="120"/>
    </row>
    <row r="17" spans="1:9" ht="15.75" customHeight="1">
      <c r="A17" s="105"/>
      <c r="B17" s="128"/>
      <c r="C17" s="121"/>
      <c r="D17" s="142"/>
      <c r="E17" s="142"/>
      <c r="F17" s="142"/>
      <c r="G17" s="142"/>
      <c r="H17" s="142" t="str">
        <f t="shared" si="0"/>
        <v/>
      </c>
      <c r="I17" s="120"/>
    </row>
    <row r="18" spans="1:9" ht="15.75" customHeight="1">
      <c r="A18" s="105"/>
      <c r="B18" s="128"/>
      <c r="C18" s="121"/>
      <c r="D18" s="142"/>
      <c r="E18" s="142"/>
      <c r="F18" s="142"/>
      <c r="G18" s="142"/>
      <c r="H18" s="142" t="str">
        <f t="shared" si="0"/>
        <v/>
      </c>
      <c r="I18" s="120"/>
    </row>
    <row r="19" spans="1:9" ht="15.75" customHeight="1">
      <c r="A19" s="105"/>
      <c r="B19" s="128"/>
      <c r="C19" s="121"/>
      <c r="D19" s="142"/>
      <c r="E19" s="142"/>
      <c r="F19" s="142"/>
      <c r="G19" s="142"/>
      <c r="H19" s="142" t="str">
        <f t="shared" si="0"/>
        <v/>
      </c>
      <c r="I19" s="120"/>
    </row>
    <row r="20" spans="1:9" ht="15.75" customHeight="1">
      <c r="A20" s="105"/>
      <c r="B20" s="128"/>
      <c r="C20" s="121"/>
      <c r="D20" s="142"/>
      <c r="E20" s="142"/>
      <c r="F20" s="142"/>
      <c r="G20" s="142"/>
      <c r="H20" s="142" t="str">
        <f t="shared" si="0"/>
        <v/>
      </c>
      <c r="I20" s="120"/>
    </row>
    <row r="21" spans="1:9" ht="15.75" customHeight="1">
      <c r="A21" s="105"/>
      <c r="B21" s="128"/>
      <c r="C21" s="121"/>
      <c r="D21" s="142"/>
      <c r="E21" s="142"/>
      <c r="F21" s="142"/>
      <c r="G21" s="142"/>
      <c r="H21" s="142" t="str">
        <f t="shared" si="0"/>
        <v/>
      </c>
      <c r="I21" s="120"/>
    </row>
    <row r="22" spans="1:9" ht="15.75" customHeight="1">
      <c r="A22" s="105"/>
      <c r="B22" s="128"/>
      <c r="C22" s="121"/>
      <c r="D22" s="142"/>
      <c r="E22" s="142"/>
      <c r="F22" s="142"/>
      <c r="G22" s="142"/>
      <c r="H22" s="142" t="str">
        <f t="shared" si="0"/>
        <v/>
      </c>
      <c r="I22" s="120"/>
    </row>
    <row r="23" spans="1:9" ht="15.75" customHeight="1">
      <c r="A23" s="105"/>
      <c r="B23" s="128"/>
      <c r="C23" s="121"/>
      <c r="D23" s="142"/>
      <c r="E23" s="142"/>
      <c r="F23" s="142"/>
      <c r="G23" s="142"/>
      <c r="H23" s="142" t="str">
        <f t="shared" si="0"/>
        <v/>
      </c>
      <c r="I23" s="120"/>
    </row>
    <row r="24" spans="1:9" ht="15.75" customHeight="1">
      <c r="A24" s="105"/>
      <c r="B24" s="128"/>
      <c r="C24" s="121"/>
      <c r="D24" s="142"/>
      <c r="E24" s="142"/>
      <c r="F24" s="142"/>
      <c r="G24" s="142"/>
      <c r="H24" s="142" t="str">
        <f t="shared" si="0"/>
        <v/>
      </c>
      <c r="I24" s="120"/>
    </row>
    <row r="25" spans="1:9" ht="15.75" customHeight="1">
      <c r="A25" s="105"/>
      <c r="B25" s="128"/>
      <c r="C25" s="121"/>
      <c r="D25" s="142"/>
      <c r="E25" s="142"/>
      <c r="F25" s="142"/>
      <c r="G25" s="142"/>
      <c r="H25" s="142" t="str">
        <f t="shared" si="0"/>
        <v/>
      </c>
      <c r="I25" s="120"/>
    </row>
    <row r="26" spans="1:9" ht="15.75" customHeight="1">
      <c r="A26" s="105"/>
      <c r="B26" s="128"/>
      <c r="C26" s="121"/>
      <c r="D26" s="142"/>
      <c r="E26" s="142"/>
      <c r="F26" s="142"/>
      <c r="G26" s="142"/>
      <c r="H26" s="142"/>
      <c r="I26" s="120"/>
    </row>
    <row r="27" spans="1:9" ht="15.75" customHeight="1">
      <c r="A27" s="809" t="s">
        <v>57</v>
      </c>
      <c r="B27" s="810"/>
      <c r="C27" s="121"/>
      <c r="D27" s="142">
        <f>SUM(D6:D26)</f>
        <v>0</v>
      </c>
      <c r="E27" s="142"/>
      <c r="F27" s="142">
        <f>SUM(F6:F26)</f>
        <v>0</v>
      </c>
      <c r="G27" s="142">
        <f>SUM(G6:G26)</f>
        <v>0</v>
      </c>
      <c r="H27" s="142" t="str">
        <f>IF(F27=0,"",(G27-F27)/F27*100)</f>
        <v/>
      </c>
      <c r="I27" s="120"/>
    </row>
    <row r="28" spans="1:9" ht="15.75" customHeight="1">
      <c r="A28" s="101" t="e">
        <f>#REF!&amp;#REF!</f>
        <v>#REF!</v>
      </c>
      <c r="F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D54" display="其他非流动资产"/>
    <hyperlink ref="B1" location="非流动资产汇总!Print_Area" display="返回"/>
  </hyperlinks>
  <printOptions horizontalCentered="1"/>
  <pageMargins left="0.35433070866141736" right="0.35433070866141736" top="0.78740157480314965" bottom="0.78740157480314965" header="1.0629921259842521" footer="0.51181102362204722"/>
  <pageSetup paperSize="9" scale="85" fitToHeight="0" orientation="landscape" horizontalDpi="4294967292" r:id="rId1"/>
  <headerFooter alignWithMargins="0">
    <oddHeader>&amp;R&amp;"宋体,常规"&amp;10表&amp;"Times New Roman,常规"4-17
&amp;"宋体,常规"共&amp;"Times New Roman,常规"&amp;N&amp;"宋体,常规"页第&amp;"Times New Roman,常规"&amp;P&amp;"宋体,常规"页</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B6"/>
  <sheetViews>
    <sheetView workbookViewId="0">
      <selection activeCell="H10" sqref="H10"/>
    </sheetView>
  </sheetViews>
  <sheetFormatPr defaultRowHeight="12.75"/>
  <cols>
    <col min="1" max="1" width="18.25" style="372" customWidth="1"/>
    <col min="2" max="2" width="18.75" style="372" customWidth="1"/>
    <col min="3" max="16384" width="9" style="370"/>
  </cols>
  <sheetData>
    <row r="1" spans="1:2">
      <c r="A1" s="369" t="s">
        <v>703</v>
      </c>
      <c r="B1" s="369" t="s">
        <v>71</v>
      </c>
    </row>
    <row r="5" spans="1:2">
      <c r="A5" s="371"/>
    </row>
    <row r="6" spans="1:2">
      <c r="A6" s="371"/>
    </row>
  </sheetData>
  <phoneticPr fontId="6" type="noConversion"/>
  <pageMargins left="0.75" right="0.75" top="1" bottom="1" header="0.5" footer="0.5"/>
  <pageSetup paperSize="9" orientation="portrait" horizontalDpi="1200" verticalDpi="12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enableFormatConditionsCalculation="0">
    <tabColor indexed="10"/>
    <pageSetUpPr fitToPage="1"/>
  </sheetPr>
  <dimension ref="A1:G29"/>
  <sheetViews>
    <sheetView zoomScale="85" workbookViewId="0">
      <selection activeCell="H10" sqref="H10"/>
    </sheetView>
  </sheetViews>
  <sheetFormatPr defaultRowHeight="15.75" customHeight="1" outlineLevelCol="1"/>
  <cols>
    <col min="1" max="1" width="8.5" style="4" customWidth="1"/>
    <col min="2" max="2" width="25.5" style="4" customWidth="1"/>
    <col min="3" max="3" width="19.125" style="4" customWidth="1" outlineLevel="1"/>
    <col min="4" max="4" width="26" style="4" customWidth="1"/>
    <col min="5" max="5" width="24.75" style="4" customWidth="1"/>
    <col min="6" max="6" width="20.625" style="4" customWidth="1"/>
    <col min="7" max="7" width="16.875" style="4" customWidth="1"/>
    <col min="8" max="16384" width="9" style="4"/>
  </cols>
  <sheetData>
    <row r="1" spans="1:7" ht="14.25">
      <c r="A1" s="272" t="s">
        <v>206</v>
      </c>
      <c r="B1" s="196" t="s">
        <v>132</v>
      </c>
      <c r="C1" s="1"/>
      <c r="D1" s="1"/>
      <c r="E1" s="1"/>
      <c r="F1" s="1"/>
      <c r="G1" s="1"/>
    </row>
    <row r="2" spans="1:7" s="114" customFormat="1" ht="30" customHeight="1">
      <c r="A2" s="790" t="s">
        <v>863</v>
      </c>
      <c r="B2" s="791"/>
      <c r="C2" s="791"/>
      <c r="D2" s="791"/>
      <c r="E2" s="791"/>
      <c r="F2" s="791"/>
      <c r="G2" s="791"/>
    </row>
    <row r="3" spans="1:7" ht="14.1" customHeight="1">
      <c r="A3" s="792" t="e">
        <f>CONCATENATE(#REF!,#REF!,#REF!,#REF!,#REF!,#REF!,#REF!)</f>
        <v>#REF!</v>
      </c>
      <c r="B3" s="792"/>
      <c r="C3" s="792"/>
      <c r="D3" s="792"/>
      <c r="E3" s="792"/>
      <c r="F3" s="792"/>
      <c r="G3" s="792"/>
    </row>
    <row r="4" spans="1:7" ht="15.75" customHeight="1">
      <c r="A4" s="115" t="e">
        <f>#REF!&amp;#REF!</f>
        <v>#REF!</v>
      </c>
      <c r="G4" s="156" t="s">
        <v>350</v>
      </c>
    </row>
    <row r="5" spans="1:7" s="284" customFormat="1" ht="15.75" customHeight="1">
      <c r="A5" s="323" t="s">
        <v>351</v>
      </c>
      <c r="B5" s="323" t="s">
        <v>352</v>
      </c>
      <c r="C5" s="323" t="s">
        <v>426</v>
      </c>
      <c r="D5" s="323" t="s">
        <v>315</v>
      </c>
      <c r="E5" s="323" t="s">
        <v>353</v>
      </c>
      <c r="F5" s="324" t="s">
        <v>354</v>
      </c>
      <c r="G5" s="323" t="s">
        <v>355</v>
      </c>
    </row>
    <row r="6" spans="1:7" ht="15.75" customHeight="1">
      <c r="A6" s="127" t="s">
        <v>288</v>
      </c>
      <c r="B6" s="120" t="s">
        <v>90</v>
      </c>
      <c r="C6" s="142">
        <f>短期借款!H27</f>
        <v>0</v>
      </c>
      <c r="D6" s="142">
        <f>短期借款!J27</f>
        <v>0</v>
      </c>
      <c r="E6" s="142">
        <f>短期借款!L27</f>
        <v>0</v>
      </c>
      <c r="F6" s="142">
        <f>E6-D6</f>
        <v>0</v>
      </c>
      <c r="G6" s="155" t="str">
        <f>IF(D6=0,"",F6/D6*100)</f>
        <v/>
      </c>
    </row>
    <row r="7" spans="1:7" ht="15.75" customHeight="1">
      <c r="A7" s="127" t="s">
        <v>788</v>
      </c>
      <c r="B7" s="120" t="s">
        <v>615</v>
      </c>
      <c r="C7" s="142">
        <f>交易性金融负债!E27</f>
        <v>0</v>
      </c>
      <c r="D7" s="142">
        <f>交易性金融负债!G27</f>
        <v>0</v>
      </c>
      <c r="E7" s="142">
        <f>交易性金融负债!H27</f>
        <v>0</v>
      </c>
      <c r="F7" s="142">
        <f t="shared" ref="F7:F17" si="0">E7-D7</f>
        <v>0</v>
      </c>
      <c r="G7" s="155" t="str">
        <f t="shared" ref="G7:G17" si="1">IF(D7=0,"",F7/D7*100)</f>
        <v/>
      </c>
    </row>
    <row r="8" spans="1:7" ht="15.75" customHeight="1">
      <c r="A8" s="127" t="s">
        <v>789</v>
      </c>
      <c r="B8" s="120" t="s">
        <v>92</v>
      </c>
      <c r="C8" s="142">
        <f>应付票据!F27</f>
        <v>0</v>
      </c>
      <c r="D8" s="142">
        <f>应付票据!H27</f>
        <v>0</v>
      </c>
      <c r="E8" s="142">
        <f>应付票据!I27</f>
        <v>0</v>
      </c>
      <c r="F8" s="142">
        <f t="shared" si="0"/>
        <v>0</v>
      </c>
      <c r="G8" s="155" t="str">
        <f t="shared" si="1"/>
        <v/>
      </c>
    </row>
    <row r="9" spans="1:7" ht="15.75" customHeight="1">
      <c r="A9" s="127" t="s">
        <v>790</v>
      </c>
      <c r="B9" s="120" t="s">
        <v>340</v>
      </c>
      <c r="C9" s="142">
        <f>应付账款!E27</f>
        <v>0</v>
      </c>
      <c r="D9" s="142">
        <f>应付账款!G27</f>
        <v>0</v>
      </c>
      <c r="E9" s="142">
        <f>应付账款!H27</f>
        <v>0</v>
      </c>
      <c r="F9" s="142">
        <f t="shared" si="0"/>
        <v>0</v>
      </c>
      <c r="G9" s="155" t="str">
        <f t="shared" si="1"/>
        <v/>
      </c>
    </row>
    <row r="10" spans="1:7" ht="15.75" customHeight="1">
      <c r="A10" s="127" t="s">
        <v>791</v>
      </c>
      <c r="B10" s="120" t="s">
        <v>451</v>
      </c>
      <c r="C10" s="142">
        <f>预收账款!E27</f>
        <v>0</v>
      </c>
      <c r="D10" s="142">
        <f>预收账款!G27</f>
        <v>0</v>
      </c>
      <c r="E10" s="142">
        <f>预收账款!H27</f>
        <v>0</v>
      </c>
      <c r="F10" s="142">
        <f t="shared" si="0"/>
        <v>0</v>
      </c>
      <c r="G10" s="155" t="str">
        <f t="shared" si="1"/>
        <v/>
      </c>
    </row>
    <row r="11" spans="1:7" ht="15.75" customHeight="1">
      <c r="A11" s="127" t="s">
        <v>792</v>
      </c>
      <c r="B11" s="120" t="s">
        <v>617</v>
      </c>
      <c r="C11" s="142">
        <f>职工薪酬!D27</f>
        <v>0</v>
      </c>
      <c r="D11" s="142">
        <f>职工薪酬!F27</f>
        <v>0</v>
      </c>
      <c r="E11" s="142">
        <f>职工薪酬!G27</f>
        <v>0</v>
      </c>
      <c r="F11" s="142">
        <f t="shared" si="0"/>
        <v>0</v>
      </c>
      <c r="G11" s="155" t="str">
        <f t="shared" si="1"/>
        <v/>
      </c>
    </row>
    <row r="12" spans="1:7" ht="15.75" customHeight="1">
      <c r="A12" s="127" t="s">
        <v>793</v>
      </c>
      <c r="B12" s="120" t="s">
        <v>606</v>
      </c>
      <c r="C12" s="142">
        <f>应交税费!E27</f>
        <v>0</v>
      </c>
      <c r="D12" s="142">
        <f>应交税费!G27</f>
        <v>0</v>
      </c>
      <c r="E12" s="142">
        <f>应交税费!H27</f>
        <v>0</v>
      </c>
      <c r="F12" s="142">
        <f t="shared" si="0"/>
        <v>0</v>
      </c>
      <c r="G12" s="155" t="str">
        <f t="shared" si="1"/>
        <v/>
      </c>
    </row>
    <row r="13" spans="1:7" ht="15.75" customHeight="1">
      <c r="A13" s="127" t="s">
        <v>794</v>
      </c>
      <c r="B13" s="120" t="s">
        <v>607</v>
      </c>
      <c r="C13" s="142">
        <f>应付利息!G27</f>
        <v>0</v>
      </c>
      <c r="D13" s="142">
        <f>应付利息!I27</f>
        <v>0</v>
      </c>
      <c r="E13" s="142">
        <f>应付利息!J27</f>
        <v>0</v>
      </c>
      <c r="F13" s="142">
        <f t="shared" si="0"/>
        <v>0</v>
      </c>
      <c r="G13" s="155" t="str">
        <f t="shared" si="1"/>
        <v/>
      </c>
    </row>
    <row r="14" spans="1:7" ht="15.75" customHeight="1">
      <c r="A14" s="127" t="s">
        <v>795</v>
      </c>
      <c r="B14" s="120" t="s">
        <v>643</v>
      </c>
      <c r="C14" s="142">
        <f>'应付股利（利润）'!E27</f>
        <v>0</v>
      </c>
      <c r="D14" s="142">
        <f>'应付股利（利润）'!G27</f>
        <v>0</v>
      </c>
      <c r="E14" s="142">
        <f>'应付股利（利润）'!H27</f>
        <v>0</v>
      </c>
      <c r="F14" s="142">
        <f t="shared" si="0"/>
        <v>0</v>
      </c>
      <c r="G14" s="155" t="str">
        <f t="shared" si="1"/>
        <v/>
      </c>
    </row>
    <row r="15" spans="1:7" ht="15.75" customHeight="1">
      <c r="A15" s="127" t="s">
        <v>796</v>
      </c>
      <c r="B15" s="120" t="s">
        <v>608</v>
      </c>
      <c r="C15" s="142">
        <f>其他应付款!E27</f>
        <v>0</v>
      </c>
      <c r="D15" s="142">
        <f>其他应付款!G27</f>
        <v>0</v>
      </c>
      <c r="E15" s="142">
        <f>其他应付款!H27</f>
        <v>0</v>
      </c>
      <c r="F15" s="142">
        <f t="shared" si="0"/>
        <v>0</v>
      </c>
      <c r="G15" s="155" t="str">
        <f t="shared" si="1"/>
        <v/>
      </c>
    </row>
    <row r="16" spans="1:7" ht="15.75" customHeight="1">
      <c r="A16" s="127" t="s">
        <v>797</v>
      </c>
      <c r="B16" s="120" t="s">
        <v>609</v>
      </c>
      <c r="C16" s="142">
        <f>一年到期非流动负债!F27</f>
        <v>0</v>
      </c>
      <c r="D16" s="142">
        <f>一年到期非流动负债!H27</f>
        <v>0</v>
      </c>
      <c r="E16" s="142">
        <f>一年到期非流动负债!I27</f>
        <v>0</v>
      </c>
      <c r="F16" s="142">
        <f t="shared" si="0"/>
        <v>0</v>
      </c>
      <c r="G16" s="155" t="str">
        <f t="shared" si="1"/>
        <v/>
      </c>
    </row>
    <row r="17" spans="1:7" ht="15.75" customHeight="1">
      <c r="A17" s="127" t="s">
        <v>798</v>
      </c>
      <c r="B17" s="120" t="s">
        <v>610</v>
      </c>
      <c r="C17" s="142">
        <f>其他流动负债!E27</f>
        <v>0</v>
      </c>
      <c r="D17" s="142">
        <f>其他流动负债!G27</f>
        <v>0</v>
      </c>
      <c r="E17" s="142">
        <f>其他流动负债!H27</f>
        <v>0</v>
      </c>
      <c r="F17" s="142">
        <f t="shared" si="0"/>
        <v>0</v>
      </c>
      <c r="G17" s="155" t="str">
        <f t="shared" si="1"/>
        <v/>
      </c>
    </row>
    <row r="18" spans="1:7" ht="15.75" customHeight="1">
      <c r="A18" s="105"/>
      <c r="B18" s="120"/>
      <c r="C18" s="142"/>
      <c r="D18" s="142"/>
      <c r="E18" s="142"/>
      <c r="F18" s="142"/>
      <c r="G18" s="155" t="str">
        <f>IF(D18=0,"",F18/D18*100)</f>
        <v/>
      </c>
    </row>
    <row r="19" spans="1:7" ht="15.75" customHeight="1">
      <c r="A19" s="105"/>
      <c r="B19" s="120"/>
      <c r="C19" s="142"/>
      <c r="D19" s="142"/>
      <c r="E19" s="142"/>
      <c r="F19" s="142"/>
      <c r="G19" s="155" t="str">
        <f>IF(D19=0,"",F19/D19*100)</f>
        <v/>
      </c>
    </row>
    <row r="20" spans="1:7" ht="15.75" customHeight="1">
      <c r="A20" s="105"/>
      <c r="B20" s="120"/>
      <c r="C20" s="142"/>
      <c r="D20" s="142"/>
      <c r="E20" s="142"/>
      <c r="F20" s="142"/>
      <c r="G20" s="155"/>
    </row>
    <row r="21" spans="1:7" ht="15.75" customHeight="1">
      <c r="A21" s="105"/>
      <c r="B21" s="120"/>
      <c r="C21" s="142"/>
      <c r="D21" s="142"/>
      <c r="E21" s="142"/>
      <c r="F21" s="142"/>
      <c r="G21" s="155"/>
    </row>
    <row r="22" spans="1:7" ht="15.75" customHeight="1">
      <c r="A22" s="105"/>
      <c r="B22" s="120"/>
      <c r="C22" s="142"/>
      <c r="D22" s="142"/>
      <c r="E22" s="142"/>
      <c r="F22" s="142"/>
      <c r="G22" s="155" t="str">
        <f t="shared" ref="G22:G27" si="2">IF(D22=0,"",F22/D22*100)</f>
        <v/>
      </c>
    </row>
    <row r="23" spans="1:7" ht="15.75" customHeight="1">
      <c r="A23" s="105"/>
      <c r="B23" s="120"/>
      <c r="C23" s="142"/>
      <c r="D23" s="142"/>
      <c r="E23" s="142"/>
      <c r="F23" s="142"/>
      <c r="G23" s="155" t="str">
        <f t="shared" si="2"/>
        <v/>
      </c>
    </row>
    <row r="24" spans="1:7" ht="15.75" customHeight="1">
      <c r="A24" s="105"/>
      <c r="B24" s="120"/>
      <c r="C24" s="142"/>
      <c r="D24" s="142"/>
      <c r="E24" s="142"/>
      <c r="F24" s="142"/>
      <c r="G24" s="155" t="str">
        <f t="shared" si="2"/>
        <v/>
      </c>
    </row>
    <row r="25" spans="1:7" ht="15.75" customHeight="1">
      <c r="A25" s="127"/>
      <c r="B25" s="154"/>
      <c r="C25" s="142"/>
      <c r="D25" s="142"/>
      <c r="E25" s="142"/>
      <c r="F25" s="142"/>
      <c r="G25" s="155" t="str">
        <f t="shared" si="2"/>
        <v/>
      </c>
    </row>
    <row r="26" spans="1:7" ht="15.75" customHeight="1">
      <c r="A26" s="127"/>
      <c r="B26" s="154"/>
      <c r="C26" s="142"/>
      <c r="D26" s="142"/>
      <c r="E26" s="142"/>
      <c r="F26" s="142"/>
      <c r="G26" s="155" t="str">
        <f t="shared" si="2"/>
        <v/>
      </c>
    </row>
    <row r="27" spans="1:7" ht="15.75" customHeight="1">
      <c r="A27" s="127" t="s">
        <v>379</v>
      </c>
      <c r="B27" s="127" t="s">
        <v>378</v>
      </c>
      <c r="C27" s="142">
        <f>SUM(C6:C26)</f>
        <v>0</v>
      </c>
      <c r="D27" s="142">
        <f>SUM(D6:D26)</f>
        <v>0</v>
      </c>
      <c r="E27" s="142">
        <f>SUM(E6:E26)</f>
        <v>0</v>
      </c>
      <c r="F27" s="142">
        <f>SUM(F6:F26)</f>
        <v>0</v>
      </c>
      <c r="G27" s="155" t="str">
        <f t="shared" si="2"/>
        <v/>
      </c>
    </row>
    <row r="28" spans="1:7" ht="15.75" customHeight="1">
      <c r="A28" s="101" t="e">
        <f>#REF!&amp;#REF!</f>
        <v>#REF!</v>
      </c>
      <c r="E28" s="4" t="e">
        <f>"评估人员："&amp;#REF!</f>
        <v>#REF!</v>
      </c>
    </row>
    <row r="29" spans="1:7" ht="15.75" customHeight="1">
      <c r="A29" s="101" t="e">
        <f>CONCATENATE(#REF!,#REF!,#REF!,#REF!,#REF!,#REF!,#REF!)</f>
        <v>#REF!</v>
      </c>
    </row>
  </sheetData>
  <mergeCells count="2">
    <mergeCell ref="A2:G2"/>
    <mergeCell ref="A3:G3"/>
  </mergeCells>
  <phoneticPr fontId="6" type="noConversion"/>
  <hyperlinks>
    <hyperlink ref="A1" location="索引目录!G6" display="流动负债"/>
    <hyperlink ref="B1" location="分类汇总!B39" display="四、流动负债合计"/>
    <hyperlink ref="B14" location="'应付股利（利润）'!B1" display="返回"/>
    <hyperlink ref="B6" location="短期借款!B1" display="返回"/>
    <hyperlink ref="B7" location="交易性金融负债!B1" display="返回"/>
    <hyperlink ref="B8" location="应付票据!B1" display="返回"/>
    <hyperlink ref="B9" location="应付账款!B1" display="返回"/>
    <hyperlink ref="B10" location="预收账款!B1" display="返回"/>
    <hyperlink ref="B11" location="职工薪酬!B1" display="返回"/>
    <hyperlink ref="B12" location="应交税费!B1" display="返回"/>
    <hyperlink ref="B13" location="应付利息!B1" display="返回"/>
    <hyperlink ref="B15" location="其他应付款!B1" display="返回"/>
    <hyperlink ref="B16" location="一年到期非流动负债!B1" display="返回"/>
    <hyperlink ref="B17" location="其他流动负债!B1" display="返回"/>
  </hyperlinks>
  <printOptions horizontalCentered="1"/>
  <pageMargins left="0.35433070866141736" right="0.35433070866141736" top="0.78740157480314965" bottom="0.78740157480314965" header="1.05" footer="0.51181102362204722"/>
  <pageSetup paperSize="9" scale="93" fitToHeight="0" orientation="landscape" horizontalDpi="4294967292" r:id="rId1"/>
  <headerFooter alignWithMargins="0">
    <oddHeader>&amp;R&amp;"宋体,常规"&amp;10表&amp;"Times New Roman,常规"5
&amp;"宋体,常规"共&amp;"Times New Roman,常规"&amp;N&amp;"宋体,常规"页第&amp;"Times New Roman,常规"&amp;P&amp;"宋体,常规"页</oddHead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0">
    <pageSetUpPr fitToPage="1"/>
  </sheetPr>
  <dimension ref="A1:M29"/>
  <sheetViews>
    <sheetView workbookViewId="0">
      <selection activeCell="H10" sqref="H10"/>
    </sheetView>
  </sheetViews>
  <sheetFormatPr defaultRowHeight="15.75" customHeight="1" outlineLevelCol="1"/>
  <cols>
    <col min="1" max="1" width="5.5" style="4" customWidth="1"/>
    <col min="2" max="2" width="18.125" style="4" customWidth="1"/>
    <col min="3" max="3" width="10" style="4" customWidth="1"/>
    <col min="4" max="4" width="9.625" style="4" customWidth="1"/>
    <col min="5" max="6" width="7.25" style="4" customWidth="1"/>
    <col min="7" max="7" width="10.625" style="4" customWidth="1"/>
    <col min="8" max="9" width="13.875" style="4" customWidth="1" outlineLevel="1"/>
    <col min="10" max="10" width="13.875" style="4" customWidth="1"/>
    <col min="11" max="12" width="14.625" style="4" customWidth="1"/>
    <col min="13" max="13" width="10.625" style="4" customWidth="1"/>
    <col min="14" max="16384" width="9" style="4"/>
  </cols>
  <sheetData>
    <row r="1" spans="1:13" ht="14.25">
      <c r="A1" s="272" t="s">
        <v>130</v>
      </c>
      <c r="B1" s="196" t="s">
        <v>131</v>
      </c>
      <c r="C1" s="1"/>
      <c r="D1" s="1"/>
      <c r="E1" s="1"/>
      <c r="F1" s="1"/>
      <c r="G1" s="1"/>
      <c r="H1" s="1"/>
      <c r="I1" s="1"/>
      <c r="J1" s="1"/>
      <c r="K1" s="1"/>
      <c r="L1" s="1"/>
      <c r="M1" s="1"/>
    </row>
    <row r="2" spans="1:13" s="114" customFormat="1" ht="30" customHeight="1">
      <c r="A2" s="790" t="s">
        <v>862</v>
      </c>
      <c r="B2" s="791"/>
      <c r="C2" s="791"/>
      <c r="D2" s="791"/>
      <c r="E2" s="791"/>
      <c r="F2" s="791"/>
      <c r="G2" s="791"/>
      <c r="H2" s="791"/>
      <c r="I2" s="791"/>
      <c r="J2" s="791"/>
      <c r="K2" s="791"/>
      <c r="L2" s="791"/>
      <c r="M2" s="791"/>
    </row>
    <row r="3" spans="1:13" ht="14.1" customHeight="1">
      <c r="A3" s="792" t="e">
        <f>CONCATENATE(#REF!,#REF!,#REF!,#REF!,#REF!,#REF!,#REF!)</f>
        <v>#REF!</v>
      </c>
      <c r="B3" s="792"/>
      <c r="C3" s="792"/>
      <c r="D3" s="792"/>
      <c r="E3" s="792"/>
      <c r="F3" s="792"/>
      <c r="G3" s="792"/>
      <c r="H3" s="808"/>
      <c r="I3" s="808"/>
      <c r="J3" s="808"/>
      <c r="K3" s="808"/>
      <c r="L3" s="808"/>
      <c r="M3" s="808"/>
    </row>
    <row r="4" spans="1:13" ht="15.75" customHeight="1">
      <c r="A4" s="115" t="e">
        <f>#REF!&amp;#REF!</f>
        <v>#REF!</v>
      </c>
      <c r="M4" s="106" t="s">
        <v>3</v>
      </c>
    </row>
    <row r="5" spans="1:13" s="1" customFormat="1" ht="15.75" customHeight="1">
      <c r="A5" s="2" t="s">
        <v>4</v>
      </c>
      <c r="B5" s="2" t="s">
        <v>230</v>
      </c>
      <c r="C5" s="2" t="s">
        <v>53</v>
      </c>
      <c r="D5" s="2" t="s">
        <v>231</v>
      </c>
      <c r="E5" s="2" t="s">
        <v>232</v>
      </c>
      <c r="F5" s="2" t="s">
        <v>34</v>
      </c>
      <c r="G5" s="2" t="s">
        <v>233</v>
      </c>
      <c r="H5" s="2" t="s">
        <v>426</v>
      </c>
      <c r="I5" s="2" t="s">
        <v>710</v>
      </c>
      <c r="J5" s="2" t="s">
        <v>315</v>
      </c>
      <c r="K5" s="2" t="s">
        <v>234</v>
      </c>
      <c r="L5" s="2" t="s">
        <v>0</v>
      </c>
      <c r="M5" s="2" t="s">
        <v>72</v>
      </c>
    </row>
    <row r="6" spans="1:13" ht="15.75" customHeight="1">
      <c r="A6" s="105"/>
      <c r="B6" s="128"/>
      <c r="C6" s="121"/>
      <c r="D6" s="121"/>
      <c r="E6" s="121"/>
      <c r="F6" s="105"/>
      <c r="G6" s="142"/>
      <c r="H6" s="142"/>
      <c r="I6" s="142"/>
      <c r="J6" s="142"/>
      <c r="K6" s="162"/>
      <c r="L6" s="142"/>
      <c r="M6" s="120"/>
    </row>
    <row r="7" spans="1:13" ht="15.75" customHeight="1">
      <c r="A7" s="105"/>
      <c r="B7" s="128"/>
      <c r="C7" s="121"/>
      <c r="D7" s="121"/>
      <c r="E7" s="105"/>
      <c r="F7" s="105"/>
      <c r="G7" s="142"/>
      <c r="H7" s="142"/>
      <c r="I7" s="142"/>
      <c r="J7" s="142"/>
      <c r="K7" s="162"/>
      <c r="L7" s="142"/>
      <c r="M7" s="120"/>
    </row>
    <row r="8" spans="1:13" ht="15.75" customHeight="1">
      <c r="A8" s="105"/>
      <c r="B8" s="128"/>
      <c r="C8" s="121"/>
      <c r="D8" s="121"/>
      <c r="E8" s="105"/>
      <c r="F8" s="105"/>
      <c r="G8" s="142"/>
      <c r="H8" s="142"/>
      <c r="I8" s="142"/>
      <c r="J8" s="142"/>
      <c r="K8" s="162"/>
      <c r="L8" s="142"/>
      <c r="M8" s="120"/>
    </row>
    <row r="9" spans="1:13" ht="15.75" customHeight="1">
      <c r="A9" s="105"/>
      <c r="B9" s="128"/>
      <c r="C9" s="121"/>
      <c r="D9" s="121"/>
      <c r="E9" s="105"/>
      <c r="F9" s="105"/>
      <c r="G9" s="142"/>
      <c r="H9" s="142"/>
      <c r="I9" s="142"/>
      <c r="J9" s="142"/>
      <c r="K9" s="162"/>
      <c r="L9" s="142"/>
      <c r="M9" s="120"/>
    </row>
    <row r="10" spans="1:13" ht="15.75" customHeight="1">
      <c r="A10" s="105"/>
      <c r="B10" s="128"/>
      <c r="C10" s="121"/>
      <c r="D10" s="121"/>
      <c r="E10" s="105"/>
      <c r="F10" s="105"/>
      <c r="G10" s="142"/>
      <c r="H10" s="142"/>
      <c r="I10" s="142"/>
      <c r="J10" s="142"/>
      <c r="K10" s="162"/>
      <c r="L10" s="142"/>
      <c r="M10" s="120"/>
    </row>
    <row r="11" spans="1:13" ht="15.75" customHeight="1">
      <c r="A11" s="105"/>
      <c r="B11" s="128"/>
      <c r="C11" s="121"/>
      <c r="D11" s="121"/>
      <c r="E11" s="105"/>
      <c r="F11" s="105"/>
      <c r="G11" s="142"/>
      <c r="H11" s="142"/>
      <c r="I11" s="142"/>
      <c r="J11" s="142"/>
      <c r="K11" s="162"/>
      <c r="L11" s="142"/>
      <c r="M11" s="120"/>
    </row>
    <row r="12" spans="1:13" ht="15.75" customHeight="1">
      <c r="A12" s="105"/>
      <c r="B12" s="128"/>
      <c r="C12" s="121"/>
      <c r="D12" s="121"/>
      <c r="E12" s="105"/>
      <c r="F12" s="105"/>
      <c r="G12" s="142"/>
      <c r="H12" s="142"/>
      <c r="I12" s="142"/>
      <c r="J12" s="142"/>
      <c r="K12" s="162"/>
      <c r="L12" s="142"/>
      <c r="M12" s="120"/>
    </row>
    <row r="13" spans="1:13" ht="15.75" customHeight="1">
      <c r="A13" s="105"/>
      <c r="B13" s="128"/>
      <c r="C13" s="121"/>
      <c r="D13" s="121"/>
      <c r="E13" s="105"/>
      <c r="F13" s="105"/>
      <c r="G13" s="142"/>
      <c r="H13" s="142"/>
      <c r="I13" s="142"/>
      <c r="J13" s="142"/>
      <c r="K13" s="162"/>
      <c r="L13" s="142"/>
      <c r="M13" s="120"/>
    </row>
    <row r="14" spans="1:13" ht="15.75" customHeight="1">
      <c r="A14" s="105"/>
      <c r="B14" s="128"/>
      <c r="C14" s="121"/>
      <c r="D14" s="121"/>
      <c r="E14" s="105"/>
      <c r="F14" s="105"/>
      <c r="G14" s="142"/>
      <c r="H14" s="142"/>
      <c r="I14" s="142"/>
      <c r="J14" s="142"/>
      <c r="K14" s="162"/>
      <c r="L14" s="142"/>
      <c r="M14" s="120"/>
    </row>
    <row r="15" spans="1:13" ht="15.75" customHeight="1">
      <c r="A15" s="105"/>
      <c r="B15" s="128"/>
      <c r="C15" s="121"/>
      <c r="D15" s="121"/>
      <c r="E15" s="105"/>
      <c r="F15" s="105"/>
      <c r="G15" s="142"/>
      <c r="H15" s="142"/>
      <c r="I15" s="142"/>
      <c r="J15" s="142"/>
      <c r="K15" s="162"/>
      <c r="L15" s="142"/>
      <c r="M15" s="120"/>
    </row>
    <row r="16" spans="1:13" ht="15.75" customHeight="1">
      <c r="A16" s="105"/>
      <c r="B16" s="128"/>
      <c r="C16" s="121"/>
      <c r="D16" s="121"/>
      <c r="E16" s="105"/>
      <c r="F16" s="105"/>
      <c r="G16" s="142"/>
      <c r="H16" s="142"/>
      <c r="I16" s="142"/>
      <c r="J16" s="142"/>
      <c r="K16" s="162"/>
      <c r="L16" s="142"/>
      <c r="M16" s="120"/>
    </row>
    <row r="17" spans="1:13" ht="15.75" customHeight="1">
      <c r="A17" s="105"/>
      <c r="B17" s="128"/>
      <c r="C17" s="121"/>
      <c r="D17" s="121"/>
      <c r="E17" s="105"/>
      <c r="F17" s="105"/>
      <c r="G17" s="142"/>
      <c r="H17" s="142"/>
      <c r="I17" s="142"/>
      <c r="J17" s="142"/>
      <c r="K17" s="162"/>
      <c r="L17" s="142"/>
      <c r="M17" s="120"/>
    </row>
    <row r="18" spans="1:13" ht="15.75" customHeight="1">
      <c r="A18" s="105"/>
      <c r="B18" s="128"/>
      <c r="C18" s="121"/>
      <c r="D18" s="121"/>
      <c r="E18" s="105"/>
      <c r="F18" s="105"/>
      <c r="G18" s="142"/>
      <c r="H18" s="142"/>
      <c r="I18" s="142"/>
      <c r="J18" s="142"/>
      <c r="K18" s="162"/>
      <c r="L18" s="142"/>
      <c r="M18" s="120"/>
    </row>
    <row r="19" spans="1:13" ht="15.75" customHeight="1">
      <c r="A19" s="105"/>
      <c r="B19" s="128"/>
      <c r="C19" s="121"/>
      <c r="D19" s="121"/>
      <c r="E19" s="105"/>
      <c r="F19" s="105"/>
      <c r="G19" s="142"/>
      <c r="H19" s="142"/>
      <c r="I19" s="142"/>
      <c r="J19" s="142"/>
      <c r="K19" s="162"/>
      <c r="L19" s="142"/>
      <c r="M19" s="120"/>
    </row>
    <row r="20" spans="1:13" ht="15.75" customHeight="1">
      <c r="A20" s="105"/>
      <c r="B20" s="128"/>
      <c r="C20" s="121"/>
      <c r="D20" s="121"/>
      <c r="E20" s="105"/>
      <c r="F20" s="105"/>
      <c r="G20" s="142"/>
      <c r="H20" s="142"/>
      <c r="I20" s="142"/>
      <c r="J20" s="142"/>
      <c r="K20" s="162"/>
      <c r="L20" s="142"/>
      <c r="M20" s="120"/>
    </row>
    <row r="21" spans="1:13" ht="15.75" customHeight="1">
      <c r="A21" s="105"/>
      <c r="B21" s="128"/>
      <c r="C21" s="121"/>
      <c r="D21" s="121"/>
      <c r="E21" s="105"/>
      <c r="F21" s="105"/>
      <c r="G21" s="142"/>
      <c r="H21" s="142"/>
      <c r="I21" s="142"/>
      <c r="J21" s="142"/>
      <c r="K21" s="162"/>
      <c r="L21" s="142"/>
      <c r="M21" s="120"/>
    </row>
    <row r="22" spans="1:13" ht="15.75" customHeight="1">
      <c r="A22" s="105"/>
      <c r="B22" s="128"/>
      <c r="C22" s="121"/>
      <c r="D22" s="121"/>
      <c r="E22" s="105"/>
      <c r="F22" s="105"/>
      <c r="G22" s="142"/>
      <c r="H22" s="142"/>
      <c r="I22" s="142"/>
      <c r="J22" s="142"/>
      <c r="K22" s="162"/>
      <c r="L22" s="142"/>
      <c r="M22" s="120"/>
    </row>
    <row r="23" spans="1:13" ht="15.75" customHeight="1">
      <c r="A23" s="105"/>
      <c r="B23" s="128"/>
      <c r="C23" s="121"/>
      <c r="D23" s="121"/>
      <c r="E23" s="105"/>
      <c r="F23" s="105"/>
      <c r="G23" s="142"/>
      <c r="H23" s="142"/>
      <c r="I23" s="142"/>
      <c r="J23" s="142"/>
      <c r="K23" s="162"/>
      <c r="L23" s="142"/>
      <c r="M23" s="120"/>
    </row>
    <row r="24" spans="1:13" ht="15.75" customHeight="1">
      <c r="A24" s="105"/>
      <c r="B24" s="128"/>
      <c r="C24" s="121"/>
      <c r="D24" s="121"/>
      <c r="E24" s="105"/>
      <c r="F24" s="105"/>
      <c r="G24" s="142"/>
      <c r="H24" s="142"/>
      <c r="I24" s="142"/>
      <c r="J24" s="142"/>
      <c r="K24" s="162"/>
      <c r="L24" s="142"/>
      <c r="M24" s="120"/>
    </row>
    <row r="25" spans="1:13" ht="15.75" customHeight="1">
      <c r="A25" s="105"/>
      <c r="B25" s="128"/>
      <c r="C25" s="121"/>
      <c r="D25" s="121"/>
      <c r="E25" s="105"/>
      <c r="F25" s="105"/>
      <c r="G25" s="142"/>
      <c r="H25" s="142"/>
      <c r="I25" s="142"/>
      <c r="J25" s="142"/>
      <c r="K25" s="162"/>
      <c r="L25" s="142"/>
      <c r="M25" s="120"/>
    </row>
    <row r="26" spans="1:13" ht="15.75" customHeight="1">
      <c r="A26" s="105"/>
      <c r="B26" s="128"/>
      <c r="C26" s="121"/>
      <c r="D26" s="121"/>
      <c r="E26" s="105"/>
      <c r="F26" s="105"/>
      <c r="G26" s="142"/>
      <c r="H26" s="142"/>
      <c r="I26" s="142"/>
      <c r="J26" s="142"/>
      <c r="K26" s="162"/>
      <c r="L26" s="142"/>
      <c r="M26" s="120"/>
    </row>
    <row r="27" spans="1:13" ht="15.75" customHeight="1">
      <c r="A27" s="809" t="s">
        <v>56</v>
      </c>
      <c r="B27" s="810"/>
      <c r="C27" s="121"/>
      <c r="D27" s="121"/>
      <c r="E27" s="105"/>
      <c r="F27" s="105"/>
      <c r="G27" s="142"/>
      <c r="H27" s="142">
        <f>SUM(H6:H26)</f>
        <v>0</v>
      </c>
      <c r="I27" s="142"/>
      <c r="J27" s="142">
        <f>SUM(J6:J26)</f>
        <v>0</v>
      </c>
      <c r="K27" s="162"/>
      <c r="L27" s="142">
        <f>SUM(L6:L26)</f>
        <v>0</v>
      </c>
      <c r="M27" s="120"/>
    </row>
    <row r="28" spans="1:13" ht="15.75" customHeight="1">
      <c r="A28" s="101" t="e">
        <f>#REF!&amp;#REF!</f>
        <v>#REF!</v>
      </c>
      <c r="J28" s="115" t="e">
        <f>"评估人员："&amp;#REF!</f>
        <v>#REF!</v>
      </c>
    </row>
    <row r="29" spans="1:13" ht="15.75" customHeight="1">
      <c r="A29" s="101" t="e">
        <f>CONCATENATE(#REF!,#REF!,#REF!,#REF!,#REF!,#REF!,#REF!)</f>
        <v>#REF!</v>
      </c>
    </row>
  </sheetData>
  <mergeCells count="3">
    <mergeCell ref="A2:M2"/>
    <mergeCell ref="A3:M3"/>
    <mergeCell ref="A27:B27"/>
  </mergeCells>
  <phoneticPr fontId="6" type="noConversion"/>
  <hyperlinks>
    <hyperlink ref="A1" location="索引目录!I6" display="短期借款"/>
    <hyperlink ref="B1" location="流动负债汇总!B6" display="短期借款"/>
  </hyperlinks>
  <printOptions horizontalCentered="1"/>
  <pageMargins left="0.35433070866141736" right="0.35433070866141736" top="0.78740157480314965" bottom="0.78740157480314965" header="1.03" footer="0.51181102362204722"/>
  <pageSetup paperSize="9" scale="87" fitToHeight="0" orientation="landscape" horizontalDpi="4294967292" r:id="rId1"/>
  <headerFooter alignWithMargins="0">
    <oddHeader>&amp;R&amp;"宋体,常规"&amp;10表&amp;"Times New Roman,常规"5-1
&amp;"宋体,常规"共&amp;"Times New Roman,常规"&amp;N&amp;"宋体,常规"页第&amp;"Times New Roman,常规"&amp;P&amp;"宋体,常规"页</oddHeader>
  </headerFooter>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9">
    <pageSetUpPr fitToPage="1"/>
  </sheetPr>
  <dimension ref="A1:I29"/>
  <sheetViews>
    <sheetView workbookViewId="0">
      <selection activeCell="H10" sqref="H10"/>
    </sheetView>
  </sheetViews>
  <sheetFormatPr defaultRowHeight="15.75" customHeight="1" outlineLevelCol="1"/>
  <cols>
    <col min="1" max="1" width="6" style="4" customWidth="1"/>
    <col min="2" max="2" width="25.375" style="4" customWidth="1"/>
    <col min="3" max="3" width="13.25" style="4" customWidth="1"/>
    <col min="4" max="4" width="23" style="4" customWidth="1"/>
    <col min="5" max="6" width="16.5" style="4" customWidth="1" outlineLevel="1"/>
    <col min="7" max="7" width="20.625" style="4" customWidth="1"/>
    <col min="8" max="8" width="18.5" style="4" customWidth="1"/>
    <col min="9" max="9" width="15.5" style="4" customWidth="1"/>
    <col min="10" max="16384" width="9" style="4"/>
  </cols>
  <sheetData>
    <row r="1" spans="1:9" ht="14.25">
      <c r="A1" s="272" t="s">
        <v>130</v>
      </c>
      <c r="B1" s="196" t="s">
        <v>131</v>
      </c>
      <c r="C1" s="1"/>
      <c r="D1" s="1"/>
      <c r="E1" s="1"/>
      <c r="F1" s="1"/>
      <c r="G1" s="1"/>
      <c r="H1" s="1"/>
      <c r="I1" s="1"/>
    </row>
    <row r="2" spans="1:9" s="114" customFormat="1" ht="30" customHeight="1">
      <c r="A2" s="790" t="s">
        <v>861</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599</v>
      </c>
    </row>
    <row r="5" spans="1:9" s="1" customFormat="1" ht="15.75" customHeight="1">
      <c r="A5" s="2" t="s">
        <v>600</v>
      </c>
      <c r="B5" s="2" t="s">
        <v>611</v>
      </c>
      <c r="C5" s="2" t="s">
        <v>612</v>
      </c>
      <c r="D5" s="2" t="s">
        <v>613</v>
      </c>
      <c r="E5" s="2" t="s">
        <v>426</v>
      </c>
      <c r="F5" s="2" t="s">
        <v>710</v>
      </c>
      <c r="G5" s="2" t="s">
        <v>315</v>
      </c>
      <c r="H5" s="2" t="s">
        <v>602</v>
      </c>
      <c r="I5" s="2" t="s">
        <v>604</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614</v>
      </c>
      <c r="B27" s="810"/>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7" display="交易性金融负债"/>
    <hyperlink ref="B1" location="流动负债汇总!B7" display="交易性金融负债"/>
  </hyperlinks>
  <printOptions horizontalCentered="1"/>
  <pageMargins left="0.35433070866141736" right="0.35433070866141736" top="0.78740157480314965" bottom="0.78740157480314965" header="1.01" footer="0.51181102362204722"/>
  <pageSetup paperSize="9" scale="84" fitToHeight="0" orientation="landscape" horizontalDpi="4294967292" r:id="rId1"/>
  <headerFooter alignWithMargins="0">
    <oddHeader>&amp;R&amp;"宋体,常规"&amp;10表&amp;"Times New Roman,常规"5-2
&amp;"宋体,常规"共&amp;"Times New Roman,常规"&amp;N&amp;"宋体,常规"页第&amp;"Times New Roman,常规"&amp;P&amp;"宋体,常规"页</oddHeader>
  </headerFooter>
  <legacyDrawing r:id="rId2"/>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pageSetUpPr fitToPage="1"/>
  </sheetPr>
  <dimension ref="A1:J29"/>
  <sheetViews>
    <sheetView workbookViewId="0">
      <selection activeCell="H10" sqref="H10"/>
    </sheetView>
  </sheetViews>
  <sheetFormatPr defaultRowHeight="15.75" customHeight="1" outlineLevelCol="1"/>
  <cols>
    <col min="1" max="1" width="7.25" style="4" customWidth="1"/>
    <col min="2" max="2" width="23.25" style="4" customWidth="1"/>
    <col min="3" max="3" width="13.375" style="4" customWidth="1"/>
    <col min="4" max="4" width="12" style="4" customWidth="1"/>
    <col min="5" max="5" width="9.625" style="4" customWidth="1"/>
    <col min="6" max="7" width="16" style="4" customWidth="1" outlineLevel="1"/>
    <col min="8" max="8" width="20.625" style="4" customWidth="1"/>
    <col min="9" max="9" width="19.5" style="4" customWidth="1"/>
    <col min="10" max="10" width="16.375" style="4" customWidth="1"/>
    <col min="11" max="16384" width="9" style="4"/>
  </cols>
  <sheetData>
    <row r="1" spans="1:10" ht="14.25">
      <c r="A1" s="272" t="s">
        <v>130</v>
      </c>
      <c r="B1" s="196" t="s">
        <v>131</v>
      </c>
      <c r="C1" s="1"/>
      <c r="D1" s="1"/>
      <c r="E1" s="1"/>
      <c r="F1" s="1"/>
      <c r="G1" s="1"/>
      <c r="H1" s="1"/>
      <c r="I1" s="1"/>
      <c r="J1" s="1"/>
    </row>
    <row r="2" spans="1:10" s="114" customFormat="1" ht="30" customHeight="1">
      <c r="A2" s="790" t="s">
        <v>860</v>
      </c>
      <c r="B2" s="791"/>
      <c r="C2" s="791"/>
      <c r="D2" s="791"/>
      <c r="E2" s="791"/>
      <c r="F2" s="791"/>
      <c r="G2" s="791"/>
      <c r="H2" s="791"/>
      <c r="I2" s="791"/>
      <c r="J2" s="791"/>
    </row>
    <row r="3" spans="1:10" ht="14.1" customHeight="1">
      <c r="A3" s="792" t="e">
        <f>CONCATENATE(#REF!,#REF!,#REF!,#REF!,#REF!,#REF!,#REF!)</f>
        <v>#REF!</v>
      </c>
      <c r="B3" s="792"/>
      <c r="C3" s="792"/>
      <c r="D3" s="792"/>
      <c r="E3" s="792"/>
      <c r="F3" s="792"/>
      <c r="G3" s="792"/>
      <c r="H3" s="792"/>
      <c r="I3" s="808"/>
      <c r="J3" s="808"/>
    </row>
    <row r="4" spans="1:10" ht="15.75" customHeight="1">
      <c r="A4" s="115" t="e">
        <f>#REF!&amp;#REF!</f>
        <v>#REF!</v>
      </c>
      <c r="J4" s="106" t="s">
        <v>3</v>
      </c>
    </row>
    <row r="5" spans="1:10" s="1" customFormat="1" ht="15.75" customHeight="1">
      <c r="A5" s="2" t="s">
        <v>4</v>
      </c>
      <c r="B5" s="2" t="s">
        <v>226</v>
      </c>
      <c r="C5" s="2" t="s">
        <v>53</v>
      </c>
      <c r="D5" s="2" t="s">
        <v>231</v>
      </c>
      <c r="E5" s="2" t="s">
        <v>50</v>
      </c>
      <c r="F5" s="2" t="s">
        <v>426</v>
      </c>
      <c r="G5" s="2" t="s">
        <v>710</v>
      </c>
      <c r="H5" s="2" t="s">
        <v>315</v>
      </c>
      <c r="I5" s="2" t="s">
        <v>0</v>
      </c>
      <c r="J5" s="2" t="s">
        <v>72</v>
      </c>
    </row>
    <row r="6" spans="1:10" ht="15.75" customHeight="1">
      <c r="A6" s="105"/>
      <c r="B6" s="128"/>
      <c r="C6" s="121"/>
      <c r="D6" s="105"/>
      <c r="E6" s="105"/>
      <c r="F6" s="142"/>
      <c r="G6" s="142"/>
      <c r="H6" s="142"/>
      <c r="I6" s="142"/>
      <c r="J6" s="120"/>
    </row>
    <row r="7" spans="1:10" ht="15.75" customHeight="1">
      <c r="A7" s="105"/>
      <c r="B7" s="128"/>
      <c r="C7" s="121"/>
      <c r="D7" s="121"/>
      <c r="E7" s="105"/>
      <c r="F7" s="142"/>
      <c r="G7" s="142"/>
      <c r="H7" s="142"/>
      <c r="I7" s="142"/>
      <c r="J7" s="120"/>
    </row>
    <row r="8" spans="1:10" ht="15.75" customHeight="1">
      <c r="A8" s="105"/>
      <c r="B8" s="128"/>
      <c r="C8" s="121"/>
      <c r="D8" s="121"/>
      <c r="E8" s="105"/>
      <c r="F8" s="142"/>
      <c r="G8" s="142"/>
      <c r="H8" s="142"/>
      <c r="I8" s="142"/>
      <c r="J8" s="120"/>
    </row>
    <row r="9" spans="1:10" ht="15.75" customHeight="1">
      <c r="A9" s="105"/>
      <c r="B9" s="128"/>
      <c r="C9" s="121"/>
      <c r="D9" s="121"/>
      <c r="E9" s="105"/>
      <c r="F9" s="142"/>
      <c r="G9" s="142"/>
      <c r="H9" s="142"/>
      <c r="I9" s="142"/>
      <c r="J9" s="120"/>
    </row>
    <row r="10" spans="1:10" ht="15.75" customHeight="1">
      <c r="A10" s="105"/>
      <c r="B10" s="128"/>
      <c r="C10" s="121"/>
      <c r="D10" s="121"/>
      <c r="E10" s="105"/>
      <c r="F10" s="142"/>
      <c r="G10" s="142"/>
      <c r="H10" s="142"/>
      <c r="I10" s="142"/>
      <c r="J10" s="120"/>
    </row>
    <row r="11" spans="1:10" ht="15.75" customHeight="1">
      <c r="A11" s="105"/>
      <c r="B11" s="128"/>
      <c r="C11" s="121"/>
      <c r="D11" s="121"/>
      <c r="E11" s="105"/>
      <c r="F11" s="142"/>
      <c r="G11" s="142"/>
      <c r="H11" s="142"/>
      <c r="I11" s="142"/>
      <c r="J11" s="120"/>
    </row>
    <row r="12" spans="1:10" ht="15.75" customHeight="1">
      <c r="A12" s="105"/>
      <c r="B12" s="128"/>
      <c r="C12" s="121"/>
      <c r="D12" s="121"/>
      <c r="E12" s="105"/>
      <c r="F12" s="142"/>
      <c r="G12" s="142"/>
      <c r="H12" s="142"/>
      <c r="I12" s="142"/>
      <c r="J12" s="120"/>
    </row>
    <row r="13" spans="1:10" ht="15.75" customHeight="1">
      <c r="A13" s="105"/>
      <c r="B13" s="128"/>
      <c r="C13" s="121"/>
      <c r="D13" s="121"/>
      <c r="E13" s="105"/>
      <c r="F13" s="142"/>
      <c r="G13" s="142"/>
      <c r="H13" s="142"/>
      <c r="I13" s="142"/>
      <c r="J13" s="120"/>
    </row>
    <row r="14" spans="1:10" ht="15.75" customHeight="1">
      <c r="A14" s="105"/>
      <c r="B14" s="128"/>
      <c r="C14" s="121"/>
      <c r="D14" s="121"/>
      <c r="E14" s="105"/>
      <c r="F14" s="142"/>
      <c r="G14" s="142"/>
      <c r="H14" s="142"/>
      <c r="I14" s="142"/>
      <c r="J14" s="120"/>
    </row>
    <row r="15" spans="1:10" ht="15.75" customHeight="1">
      <c r="A15" s="105"/>
      <c r="B15" s="128"/>
      <c r="C15" s="121"/>
      <c r="D15" s="121"/>
      <c r="E15" s="105"/>
      <c r="F15" s="142"/>
      <c r="G15" s="142"/>
      <c r="H15" s="142"/>
      <c r="I15" s="142"/>
      <c r="J15" s="120"/>
    </row>
    <row r="16" spans="1:10" ht="15.75" customHeight="1">
      <c r="A16" s="105"/>
      <c r="B16" s="128"/>
      <c r="C16" s="121"/>
      <c r="D16" s="121"/>
      <c r="E16" s="105"/>
      <c r="F16" s="142"/>
      <c r="G16" s="142"/>
      <c r="H16" s="142"/>
      <c r="I16" s="142"/>
      <c r="J16" s="120"/>
    </row>
    <row r="17" spans="1:10" ht="15.75" customHeight="1">
      <c r="A17" s="105"/>
      <c r="B17" s="128"/>
      <c r="C17" s="121"/>
      <c r="D17" s="121"/>
      <c r="E17" s="105"/>
      <c r="F17" s="142"/>
      <c r="G17" s="142"/>
      <c r="H17" s="142"/>
      <c r="I17" s="142"/>
      <c r="J17" s="120"/>
    </row>
    <row r="18" spans="1:10" ht="15.75" customHeight="1">
      <c r="A18" s="105"/>
      <c r="B18" s="128"/>
      <c r="C18" s="121"/>
      <c r="D18" s="121"/>
      <c r="E18" s="105"/>
      <c r="F18" s="142"/>
      <c r="G18" s="142"/>
      <c r="H18" s="142"/>
      <c r="I18" s="142"/>
      <c r="J18" s="120"/>
    </row>
    <row r="19" spans="1:10" ht="15.75" customHeight="1">
      <c r="A19" s="105"/>
      <c r="B19" s="128"/>
      <c r="C19" s="121"/>
      <c r="D19" s="121"/>
      <c r="E19" s="105"/>
      <c r="F19" s="142"/>
      <c r="G19" s="142"/>
      <c r="H19" s="142"/>
      <c r="I19" s="142"/>
      <c r="J19" s="120"/>
    </row>
    <row r="20" spans="1:10" ht="15.75" customHeight="1">
      <c r="A20" s="105"/>
      <c r="B20" s="128"/>
      <c r="C20" s="121"/>
      <c r="D20" s="121"/>
      <c r="E20" s="105"/>
      <c r="F20" s="142"/>
      <c r="G20" s="142"/>
      <c r="H20" s="142"/>
      <c r="I20" s="142"/>
      <c r="J20" s="120"/>
    </row>
    <row r="21" spans="1:10" ht="15.75" customHeight="1">
      <c r="A21" s="105"/>
      <c r="B21" s="128"/>
      <c r="C21" s="121"/>
      <c r="D21" s="121"/>
      <c r="E21" s="105"/>
      <c r="F21" s="142"/>
      <c r="G21" s="142"/>
      <c r="H21" s="142"/>
      <c r="I21" s="142"/>
      <c r="J21" s="120"/>
    </row>
    <row r="22" spans="1:10" ht="15.75" customHeight="1">
      <c r="A22" s="105"/>
      <c r="B22" s="128"/>
      <c r="C22" s="121"/>
      <c r="D22" s="121"/>
      <c r="E22" s="105"/>
      <c r="F22" s="142"/>
      <c r="G22" s="142"/>
      <c r="H22" s="142"/>
      <c r="I22" s="142"/>
      <c r="J22" s="120"/>
    </row>
    <row r="23" spans="1:10" ht="15.75" customHeight="1">
      <c r="A23" s="105"/>
      <c r="B23" s="128"/>
      <c r="C23" s="121"/>
      <c r="D23" s="121"/>
      <c r="E23" s="105"/>
      <c r="F23" s="142"/>
      <c r="G23" s="142"/>
      <c r="H23" s="142"/>
      <c r="I23" s="142"/>
      <c r="J23" s="120"/>
    </row>
    <row r="24" spans="1:10" ht="15.75" customHeight="1">
      <c r="A24" s="105"/>
      <c r="B24" s="128"/>
      <c r="C24" s="121"/>
      <c r="D24" s="121"/>
      <c r="E24" s="105"/>
      <c r="F24" s="142"/>
      <c r="G24" s="142"/>
      <c r="H24" s="142"/>
      <c r="I24" s="142"/>
      <c r="J24" s="120"/>
    </row>
    <row r="25" spans="1:10" ht="15.75" customHeight="1">
      <c r="A25" s="105"/>
      <c r="B25" s="128"/>
      <c r="C25" s="121"/>
      <c r="D25" s="121"/>
      <c r="E25" s="105"/>
      <c r="F25" s="142"/>
      <c r="G25" s="142"/>
      <c r="H25" s="142"/>
      <c r="I25" s="142"/>
      <c r="J25" s="120"/>
    </row>
    <row r="26" spans="1:10" ht="15.75" customHeight="1">
      <c r="A26" s="105"/>
      <c r="B26" s="128"/>
      <c r="C26" s="121"/>
      <c r="D26" s="121"/>
      <c r="E26" s="105"/>
      <c r="F26" s="142"/>
      <c r="G26" s="142"/>
      <c r="H26" s="142"/>
      <c r="I26" s="142"/>
      <c r="J26" s="120"/>
    </row>
    <row r="27" spans="1:10" ht="15.75" customHeight="1">
      <c r="A27" s="809" t="s">
        <v>240</v>
      </c>
      <c r="B27" s="810"/>
      <c r="C27" s="121"/>
      <c r="D27" s="121"/>
      <c r="E27" s="105"/>
      <c r="F27" s="142">
        <f>SUM(F6:F26)</f>
        <v>0</v>
      </c>
      <c r="G27" s="142"/>
      <c r="H27" s="142">
        <f>SUM(H6:H26)</f>
        <v>0</v>
      </c>
      <c r="I27" s="142">
        <f>SUM(I6:I26)</f>
        <v>0</v>
      </c>
      <c r="J27" s="120"/>
    </row>
    <row r="28" spans="1:10" ht="15.75" customHeight="1">
      <c r="A28" s="101" t="e">
        <f>#REF!&amp;#REF!</f>
        <v>#REF!</v>
      </c>
      <c r="H28" s="115" t="e">
        <f>"评估人员："&amp;#REF!</f>
        <v>#REF!</v>
      </c>
    </row>
    <row r="29" spans="1:10" ht="15.75" customHeight="1">
      <c r="A29" s="101" t="e">
        <f>CONCATENATE(#REF!,#REF!,#REF!,#REF!,#REF!,#REF!,#REF!)</f>
        <v>#REF!</v>
      </c>
    </row>
  </sheetData>
  <mergeCells count="3">
    <mergeCell ref="A2:J2"/>
    <mergeCell ref="A3:J3"/>
    <mergeCell ref="A27:B27"/>
  </mergeCells>
  <phoneticPr fontId="6" type="noConversion"/>
  <hyperlinks>
    <hyperlink ref="A1" location="索引目录!I8" display="应付票据"/>
    <hyperlink ref="B1" location="流动负债汇总!B8" display="应付票据"/>
  </hyperlinks>
  <printOptions horizontalCentered="1"/>
  <pageMargins left="0.35433070866141736" right="0.35433070866141736" top="0.78740157480314965" bottom="0.78740157480314965" header="1.03" footer="0.51181102362204722"/>
  <pageSetup paperSize="9" scale="85" fitToHeight="0" orientation="landscape" horizontalDpi="4294967292" r:id="rId1"/>
  <headerFooter alignWithMargins="0">
    <oddHeader>&amp;R&amp;"宋体,常规"&amp;10表&amp;"Times New Roman,常规"5-3
&amp;"宋体,常规"共&amp;"Times New Roman,常规"&amp;N&amp;"宋体,常规"页第&amp;"Times New Roman,常规"&amp;P&amp;"宋体,常规"页</oddHeader>
  </headerFooter>
  <legacy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2">
    <pageSetUpPr fitToPage="1"/>
  </sheetPr>
  <dimension ref="A1:I29"/>
  <sheetViews>
    <sheetView workbookViewId="0">
      <selection activeCell="H10" sqref="H10"/>
    </sheetView>
  </sheetViews>
  <sheetFormatPr defaultRowHeight="15.75" customHeight="1" outlineLevelCol="1"/>
  <cols>
    <col min="1" max="1" width="6.5" style="4" customWidth="1"/>
    <col min="2" max="2" width="25.375" style="4" customWidth="1"/>
    <col min="3" max="3" width="14.125" style="4" customWidth="1"/>
    <col min="4" max="4" width="20.5" style="4" customWidth="1"/>
    <col min="5" max="6" width="16.5" style="4" customWidth="1" outlineLevel="1"/>
    <col min="7" max="7" width="20.875" style="4" customWidth="1"/>
    <col min="8" max="8" width="19.75" style="4" customWidth="1"/>
    <col min="9" max="9" width="15.5" style="4" customWidth="1"/>
    <col min="10" max="16384" width="9" style="4"/>
  </cols>
  <sheetData>
    <row r="1" spans="1:9" ht="14.25">
      <c r="A1" s="272" t="s">
        <v>130</v>
      </c>
      <c r="B1" s="196" t="s">
        <v>131</v>
      </c>
      <c r="C1" s="1"/>
      <c r="D1" s="1"/>
      <c r="E1" s="1"/>
      <c r="F1" s="1"/>
      <c r="G1" s="1"/>
      <c r="H1" s="1"/>
      <c r="I1" s="1"/>
    </row>
    <row r="2" spans="1:9" s="114" customFormat="1" ht="30" customHeight="1">
      <c r="A2" s="790" t="s">
        <v>859</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3</v>
      </c>
    </row>
    <row r="5" spans="1:9" s="1" customFormat="1" ht="15.75" customHeight="1">
      <c r="A5" s="2" t="s">
        <v>4</v>
      </c>
      <c r="B5" s="2" t="s">
        <v>226</v>
      </c>
      <c r="C5" s="2" t="s">
        <v>53</v>
      </c>
      <c r="D5" s="2" t="s">
        <v>52</v>
      </c>
      <c r="E5" s="2" t="s">
        <v>426</v>
      </c>
      <c r="F5" s="2" t="s">
        <v>710</v>
      </c>
      <c r="G5" s="2" t="s">
        <v>315</v>
      </c>
      <c r="H5" s="2" t="s">
        <v>0</v>
      </c>
      <c r="I5" s="2" t="s">
        <v>72</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237</v>
      </c>
      <c r="B27" s="810"/>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9" display="应付账款"/>
    <hyperlink ref="B1" location="流动负债汇总!B9" display="应付账款"/>
  </hyperlinks>
  <printOptions horizontalCentered="1"/>
  <pageMargins left="0.35433070866141736" right="0.35433070866141736" top="0.78740157480314965" bottom="0.78740157480314965" header="1.01" footer="0.51181102362204722"/>
  <pageSetup paperSize="9" scale="84" fitToHeight="0" orientation="landscape" horizontalDpi="4294967292" r:id="rId1"/>
  <headerFooter alignWithMargins="0">
    <oddHeader>&amp;R&amp;"宋体,常规"&amp;10表&amp;"Times New Roman,常规"5-4
&amp;"宋体,常规"共&amp;"Times New Roman,常规"&amp;N&amp;"宋体,常规"页第&amp;"Times New Roman,常规"&amp;P&amp;"宋体,常规"页</oddHeader>
  </headerFooter>
  <legacy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3">
    <pageSetUpPr fitToPage="1"/>
  </sheetPr>
  <dimension ref="A1:I29"/>
  <sheetViews>
    <sheetView workbookViewId="0">
      <selection activeCell="H10" sqref="H10"/>
    </sheetView>
  </sheetViews>
  <sheetFormatPr defaultRowHeight="15.75" customHeight="1" outlineLevelCol="1"/>
  <cols>
    <col min="1" max="1" width="6" style="4" customWidth="1"/>
    <col min="2" max="2" width="23" style="4" customWidth="1"/>
    <col min="3" max="3" width="15.625" style="4" customWidth="1"/>
    <col min="4" max="4" width="19.625" style="4" customWidth="1"/>
    <col min="5" max="6" width="16.5" style="4" customWidth="1" outlineLevel="1"/>
    <col min="7" max="8" width="21.875" style="4" customWidth="1"/>
    <col min="9" max="9" width="15.5" style="4" customWidth="1"/>
    <col min="10" max="16384" width="9" style="4"/>
  </cols>
  <sheetData>
    <row r="1" spans="1:9" s="141" customFormat="1" ht="14.25">
      <c r="A1" s="272" t="s">
        <v>130</v>
      </c>
      <c r="B1" s="196" t="s">
        <v>131</v>
      </c>
      <c r="C1" s="140"/>
      <c r="D1" s="140"/>
      <c r="E1" s="140"/>
      <c r="F1" s="140"/>
      <c r="G1" s="140"/>
      <c r="H1" s="140"/>
      <c r="I1" s="140"/>
    </row>
    <row r="2" spans="1:9" s="114" customFormat="1" ht="30" customHeight="1">
      <c r="A2" s="790" t="s">
        <v>858</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350</v>
      </c>
    </row>
    <row r="5" spans="1:9" s="1" customFormat="1" ht="15.75" customHeight="1">
      <c r="A5" s="2" t="s">
        <v>371</v>
      </c>
      <c r="B5" s="2" t="s">
        <v>380</v>
      </c>
      <c r="C5" s="2" t="s">
        <v>381</v>
      </c>
      <c r="D5" s="2" t="s">
        <v>382</v>
      </c>
      <c r="E5" s="2" t="s">
        <v>426</v>
      </c>
      <c r="F5" s="2" t="s">
        <v>710</v>
      </c>
      <c r="G5" s="2" t="s">
        <v>315</v>
      </c>
      <c r="H5" s="2" t="s">
        <v>353</v>
      </c>
      <c r="I5" s="2" t="s">
        <v>377</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237</v>
      </c>
      <c r="B27" s="810"/>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10" display="预收款项"/>
    <hyperlink ref="B1" location="流动负债汇总!B10" display="预收款项"/>
  </hyperlinks>
  <printOptions horizontalCentered="1"/>
  <pageMargins left="0.35433070866141736" right="0.35433070866141736" top="0.78740157480314965" bottom="0.78740157480314965" header="1.05" footer="0.51181102362204722"/>
  <pageSetup paperSize="9" scale="84" fitToHeight="0" orientation="landscape" horizontalDpi="4294967292" r:id="rId1"/>
  <headerFooter alignWithMargins="0">
    <oddHeader>&amp;R&amp;"宋体,常规"&amp;10表&amp;"Times New Roman,常规"5-5
&amp;"宋体,常规"共&amp;"Times New Roman,常规"&amp;N&amp;"宋体,常规"页第&amp;"Times New Roman,常规"&amp;P&amp;"宋体,常规"页</oddHeader>
  </headerFooter>
  <legacyDrawing r:id="rId2"/>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5">
    <pageSetUpPr fitToPage="1"/>
  </sheetPr>
  <dimension ref="A1:H29"/>
  <sheetViews>
    <sheetView workbookViewId="0">
      <selection activeCell="H10" sqref="H10"/>
    </sheetView>
  </sheetViews>
  <sheetFormatPr defaultRowHeight="15.75" customHeight="1" outlineLevelCol="1"/>
  <cols>
    <col min="1" max="1" width="6.375" style="4" customWidth="1"/>
    <col min="2" max="2" width="29.125" style="4" customWidth="1"/>
    <col min="3" max="3" width="19.5" style="4" customWidth="1"/>
    <col min="4" max="4" width="19.375" style="4" customWidth="1" outlineLevel="1"/>
    <col min="5" max="5" width="10" style="4" customWidth="1" outlineLevel="1"/>
    <col min="6" max="6" width="24.75" style="4" customWidth="1"/>
    <col min="7" max="7" width="23.875" style="4" customWidth="1"/>
    <col min="8" max="8" width="18.125" style="4" customWidth="1"/>
    <col min="9" max="16384" width="9" style="4"/>
  </cols>
  <sheetData>
    <row r="1" spans="1:8" ht="14.25">
      <c r="A1" s="272" t="s">
        <v>130</v>
      </c>
      <c r="B1" s="196" t="s">
        <v>131</v>
      </c>
      <c r="C1" s="1"/>
      <c r="D1" s="1"/>
      <c r="E1" s="1"/>
      <c r="F1" s="1"/>
      <c r="G1" s="1"/>
      <c r="H1" s="1"/>
    </row>
    <row r="2" spans="1:8" s="114" customFormat="1" ht="30" customHeight="1">
      <c r="A2" s="790" t="s">
        <v>857</v>
      </c>
      <c r="B2" s="791"/>
      <c r="C2" s="791"/>
      <c r="D2" s="791"/>
      <c r="E2" s="791"/>
      <c r="F2" s="791"/>
      <c r="G2" s="791"/>
      <c r="H2" s="791"/>
    </row>
    <row r="3" spans="1:8" ht="14.1" customHeight="1">
      <c r="A3" s="792" t="e">
        <f>CONCATENATE(#REF!,#REF!,#REF!,#REF!,#REF!,#REF!,#REF!)</f>
        <v>#REF!</v>
      </c>
      <c r="B3" s="792"/>
      <c r="C3" s="792"/>
      <c r="D3" s="792"/>
      <c r="E3" s="792"/>
      <c r="F3" s="792"/>
      <c r="G3" s="792"/>
      <c r="H3" s="792"/>
    </row>
    <row r="4" spans="1:8" ht="15.75" customHeight="1">
      <c r="A4" s="115" t="e">
        <f>#REF!&amp;#REF!</f>
        <v>#REF!</v>
      </c>
      <c r="H4" s="106" t="s">
        <v>3</v>
      </c>
    </row>
    <row r="5" spans="1:8" s="1" customFormat="1" ht="15.75" customHeight="1">
      <c r="A5" s="2" t="s">
        <v>4</v>
      </c>
      <c r="B5" s="2" t="s">
        <v>616</v>
      </c>
      <c r="C5" s="2" t="s">
        <v>53</v>
      </c>
      <c r="D5" s="2" t="s">
        <v>426</v>
      </c>
      <c r="E5" s="2" t="s">
        <v>710</v>
      </c>
      <c r="F5" s="2" t="s">
        <v>315</v>
      </c>
      <c r="G5" s="2" t="s">
        <v>0</v>
      </c>
      <c r="H5" s="2" t="s">
        <v>72</v>
      </c>
    </row>
    <row r="6" spans="1:8" ht="15.75" customHeight="1">
      <c r="A6" s="105">
        <v>1</v>
      </c>
      <c r="B6" s="111" t="s">
        <v>624</v>
      </c>
      <c r="C6" s="121"/>
      <c r="D6" s="142"/>
      <c r="E6" s="142"/>
      <c r="F6" s="142"/>
      <c r="G6" s="142"/>
      <c r="H6" s="120"/>
    </row>
    <row r="7" spans="1:8" ht="15.75" customHeight="1">
      <c r="A7" s="105">
        <v>2</v>
      </c>
      <c r="B7" s="111" t="s">
        <v>625</v>
      </c>
      <c r="C7" s="121"/>
      <c r="D7" s="142"/>
      <c r="E7" s="142"/>
      <c r="F7" s="142"/>
      <c r="G7" s="142"/>
      <c r="H7" s="120"/>
    </row>
    <row r="8" spans="1:8" ht="15.75" customHeight="1">
      <c r="A8" s="105">
        <v>3</v>
      </c>
      <c r="B8" s="111" t="s">
        <v>626</v>
      </c>
      <c r="C8" s="121"/>
      <c r="D8" s="142"/>
      <c r="E8" s="142"/>
      <c r="F8" s="142"/>
      <c r="G8" s="142"/>
      <c r="H8" s="120"/>
    </row>
    <row r="9" spans="1:8" ht="15.75" customHeight="1">
      <c r="A9" s="105">
        <v>4</v>
      </c>
      <c r="B9" s="111" t="s">
        <v>627</v>
      </c>
      <c r="C9" s="121"/>
      <c r="D9" s="142"/>
      <c r="E9" s="142"/>
      <c r="F9" s="142"/>
      <c r="G9" s="142"/>
      <c r="H9" s="120"/>
    </row>
    <row r="10" spans="1:8" ht="15.75" customHeight="1">
      <c r="A10" s="105">
        <v>5</v>
      </c>
      <c r="B10" s="111" t="s">
        <v>628</v>
      </c>
      <c r="C10" s="121"/>
      <c r="D10" s="142"/>
      <c r="E10" s="142"/>
      <c r="F10" s="142"/>
      <c r="G10" s="142"/>
      <c r="H10" s="120"/>
    </row>
    <row r="11" spans="1:8" ht="15.75" customHeight="1">
      <c r="A11" s="105">
        <v>6</v>
      </c>
      <c r="B11" s="111" t="s">
        <v>629</v>
      </c>
      <c r="C11" s="121"/>
      <c r="D11" s="142"/>
      <c r="E11" s="142"/>
      <c r="F11" s="142"/>
      <c r="G11" s="142"/>
      <c r="H11" s="120"/>
    </row>
    <row r="12" spans="1:8" ht="15.75" customHeight="1">
      <c r="A12" s="105">
        <v>7</v>
      </c>
      <c r="B12" s="111" t="s">
        <v>630</v>
      </c>
      <c r="C12" s="121"/>
      <c r="D12" s="142"/>
      <c r="E12" s="142"/>
      <c r="F12" s="142"/>
      <c r="G12" s="142"/>
      <c r="H12" s="120"/>
    </row>
    <row r="13" spans="1:8" ht="15.75" customHeight="1">
      <c r="A13" s="105">
        <v>8</v>
      </c>
      <c r="B13" s="111" t="s">
        <v>631</v>
      </c>
      <c r="C13" s="121"/>
      <c r="D13" s="142"/>
      <c r="E13" s="142"/>
      <c r="F13" s="142"/>
      <c r="G13" s="142"/>
      <c r="H13" s="120"/>
    </row>
    <row r="14" spans="1:8" ht="15.75" customHeight="1">
      <c r="A14" s="105">
        <v>9</v>
      </c>
      <c r="B14" s="111" t="s">
        <v>618</v>
      </c>
      <c r="C14" s="121"/>
      <c r="D14" s="142"/>
      <c r="E14" s="142"/>
      <c r="F14" s="142"/>
      <c r="G14" s="142"/>
      <c r="H14" s="120"/>
    </row>
    <row r="15" spans="1:8" ht="15.75" customHeight="1">
      <c r="A15" s="105">
        <v>10</v>
      </c>
      <c r="B15" s="111" t="s">
        <v>619</v>
      </c>
      <c r="C15" s="121"/>
      <c r="D15" s="142"/>
      <c r="E15" s="142"/>
      <c r="F15" s="142"/>
      <c r="G15" s="142"/>
      <c r="H15" s="120"/>
    </row>
    <row r="16" spans="1:8" ht="15.75" customHeight="1">
      <c r="A16" s="105">
        <v>11</v>
      </c>
      <c r="B16" s="111" t="s">
        <v>620</v>
      </c>
      <c r="C16" s="121"/>
      <c r="D16" s="142"/>
      <c r="E16" s="142"/>
      <c r="F16" s="142"/>
      <c r="G16" s="142"/>
      <c r="H16" s="120"/>
    </row>
    <row r="17" spans="1:8" ht="15.75" customHeight="1">
      <c r="A17" s="105">
        <v>12</v>
      </c>
      <c r="B17" s="111" t="s">
        <v>621</v>
      </c>
      <c r="C17" s="121"/>
      <c r="D17" s="142"/>
      <c r="E17" s="142"/>
      <c r="F17" s="142"/>
      <c r="G17" s="142"/>
      <c r="H17" s="120"/>
    </row>
    <row r="18" spans="1:8" ht="15.75" customHeight="1">
      <c r="A18" s="105">
        <v>13</v>
      </c>
      <c r="B18" s="111" t="s">
        <v>622</v>
      </c>
      <c r="C18" s="121"/>
      <c r="D18" s="142"/>
      <c r="E18" s="142"/>
      <c r="F18" s="142"/>
      <c r="G18" s="142"/>
      <c r="H18" s="120"/>
    </row>
    <row r="19" spans="1:8" ht="15.75" customHeight="1">
      <c r="A19" s="105">
        <v>14</v>
      </c>
      <c r="B19" s="111" t="s">
        <v>623</v>
      </c>
      <c r="C19" s="121"/>
      <c r="D19" s="142"/>
      <c r="E19" s="142"/>
      <c r="F19" s="142"/>
      <c r="G19" s="142"/>
      <c r="H19" s="120"/>
    </row>
    <row r="20" spans="1:8" ht="15.75" customHeight="1">
      <c r="A20" s="105">
        <v>15</v>
      </c>
      <c r="B20" s="111" t="s">
        <v>799</v>
      </c>
      <c r="C20" s="121"/>
      <c r="D20" s="142"/>
      <c r="E20" s="142"/>
      <c r="F20" s="142"/>
      <c r="G20" s="142"/>
      <c r="H20" s="120"/>
    </row>
    <row r="21" spans="1:8" ht="15.75" customHeight="1">
      <c r="A21" s="105"/>
      <c r="B21" s="128"/>
      <c r="C21" s="121"/>
      <c r="D21" s="142"/>
      <c r="E21" s="142"/>
      <c r="F21" s="142"/>
      <c r="G21" s="142"/>
      <c r="H21" s="120"/>
    </row>
    <row r="22" spans="1:8" ht="15.75" customHeight="1">
      <c r="A22" s="105"/>
      <c r="B22" s="128"/>
      <c r="C22" s="121"/>
      <c r="D22" s="142"/>
      <c r="E22" s="142"/>
      <c r="F22" s="142"/>
      <c r="G22" s="142"/>
      <c r="H22" s="120"/>
    </row>
    <row r="23" spans="1:8" ht="15.75" customHeight="1">
      <c r="A23" s="105"/>
      <c r="B23" s="128"/>
      <c r="C23" s="121"/>
      <c r="D23" s="142"/>
      <c r="E23" s="142"/>
      <c r="F23" s="142"/>
      <c r="G23" s="142"/>
      <c r="H23" s="120"/>
    </row>
    <row r="24" spans="1:8" ht="15.75" customHeight="1">
      <c r="A24" s="105"/>
      <c r="B24" s="128"/>
      <c r="C24" s="121"/>
      <c r="D24" s="142"/>
      <c r="E24" s="142"/>
      <c r="F24" s="142"/>
      <c r="G24" s="142"/>
      <c r="H24" s="120"/>
    </row>
    <row r="25" spans="1:8" ht="15.75" customHeight="1">
      <c r="A25" s="105"/>
      <c r="B25" s="128"/>
      <c r="C25" s="121"/>
      <c r="D25" s="142"/>
      <c r="E25" s="142"/>
      <c r="F25" s="142"/>
      <c r="G25" s="142"/>
      <c r="H25" s="120"/>
    </row>
    <row r="26" spans="1:8" ht="15.75" customHeight="1">
      <c r="A26" s="105"/>
      <c r="B26" s="128"/>
      <c r="C26" s="121"/>
      <c r="D26" s="142"/>
      <c r="E26" s="142"/>
      <c r="F26" s="142"/>
      <c r="G26" s="142"/>
      <c r="H26" s="120"/>
    </row>
    <row r="27" spans="1:8" ht="15.75" customHeight="1">
      <c r="A27" s="809" t="s">
        <v>229</v>
      </c>
      <c r="B27" s="810"/>
      <c r="C27" s="121"/>
      <c r="D27" s="142">
        <f>SUM(D6:D26)</f>
        <v>0</v>
      </c>
      <c r="E27" s="142"/>
      <c r="F27" s="142">
        <f>SUM(F6:F26)</f>
        <v>0</v>
      </c>
      <c r="G27" s="142">
        <f>SUM(G6:G26)</f>
        <v>0</v>
      </c>
      <c r="H27" s="120"/>
    </row>
    <row r="28" spans="1:8" ht="15.75" customHeight="1">
      <c r="A28" s="101" t="e">
        <f>#REF!&amp;#REF!</f>
        <v>#REF!</v>
      </c>
      <c r="F28" s="115" t="e">
        <f>"评估人员："&amp;#REF!</f>
        <v>#REF!</v>
      </c>
    </row>
    <row r="29" spans="1:8" ht="15.75" customHeight="1">
      <c r="A29" s="101" t="e">
        <f>CONCATENATE(#REF!,#REF!,#REF!,#REF!,#REF!,#REF!,#REF!)</f>
        <v>#REF!</v>
      </c>
    </row>
  </sheetData>
  <mergeCells count="3">
    <mergeCell ref="A2:H2"/>
    <mergeCell ref="A3:H3"/>
    <mergeCell ref="A27:B27"/>
  </mergeCells>
  <phoneticPr fontId="6" type="noConversion"/>
  <hyperlinks>
    <hyperlink ref="A1" location="索引目录!I11" display="应付职工薪酬"/>
    <hyperlink ref="B1" location="流动负债汇总!B11" display="应付职工薪酬"/>
  </hyperlinks>
  <printOptions horizontalCentered="1"/>
  <pageMargins left="0.35433070866141736" right="0.35433070866141736" top="0.78740157480314965" bottom="0.78740157480314965" header="1.03" footer="0.51181102362204722"/>
  <pageSetup paperSize="9" scale="87" fitToHeight="0" orientation="landscape" horizontalDpi="4294967292" r:id="rId1"/>
  <headerFooter alignWithMargins="0">
    <oddHeader>&amp;R&amp;"宋体,常规"&amp;10表&amp;"Times New Roman,常规"5-6
&amp;"宋体,常规"共&amp;"Times New Roman,常规"&amp;N&amp;"宋体,常规"页第&amp;"Times New Roman,常规"&amp;P&amp;"宋体,常规"页</oddHeader>
  </headerFooter>
  <legacyDrawing r:id="rId2"/>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7">
    <pageSetUpPr fitToPage="1"/>
  </sheetPr>
  <dimension ref="A1:I29"/>
  <sheetViews>
    <sheetView workbookViewId="0">
      <selection activeCell="H10" sqref="H10"/>
    </sheetView>
  </sheetViews>
  <sheetFormatPr defaultRowHeight="15.75" customHeight="1" outlineLevelCol="1"/>
  <cols>
    <col min="1" max="1" width="7" style="4" customWidth="1"/>
    <col min="2" max="2" width="30.75" style="4" customWidth="1"/>
    <col min="3" max="3" width="16.125" style="4" customWidth="1"/>
    <col min="4" max="4" width="12" style="4" customWidth="1"/>
    <col min="5" max="6" width="16.875" style="4" customWidth="1" outlineLevel="1"/>
    <col min="7" max="7" width="21" style="4" customWidth="1"/>
    <col min="8" max="8" width="21.375" style="4" customWidth="1"/>
    <col min="9" max="9" width="14.875" style="4" customWidth="1"/>
    <col min="10" max="16384" width="9" style="4"/>
  </cols>
  <sheetData>
    <row r="1" spans="1:9" ht="14.25">
      <c r="A1" s="272" t="s">
        <v>130</v>
      </c>
      <c r="B1" s="196" t="s">
        <v>131</v>
      </c>
      <c r="C1" s="1"/>
      <c r="D1" s="1"/>
      <c r="E1" s="1"/>
      <c r="F1" s="1"/>
      <c r="G1" s="1"/>
      <c r="H1" s="1"/>
      <c r="I1" s="1"/>
    </row>
    <row r="2" spans="1:9" s="114" customFormat="1" ht="30" customHeight="1">
      <c r="A2" s="790" t="s">
        <v>856</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3</v>
      </c>
    </row>
    <row r="5" spans="1:9" s="1" customFormat="1" ht="15.75" customHeight="1">
      <c r="A5" s="2" t="s">
        <v>4</v>
      </c>
      <c r="B5" s="2" t="s">
        <v>239</v>
      </c>
      <c r="C5" s="2" t="s">
        <v>53</v>
      </c>
      <c r="D5" s="2" t="s">
        <v>632</v>
      </c>
      <c r="E5" s="2" t="s">
        <v>426</v>
      </c>
      <c r="F5" s="2" t="s">
        <v>710</v>
      </c>
      <c r="G5" s="2" t="s">
        <v>315</v>
      </c>
      <c r="H5" s="2" t="s">
        <v>0</v>
      </c>
      <c r="I5" s="2" t="s">
        <v>72</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74</v>
      </c>
      <c r="B27" s="810"/>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12" display="应交税费"/>
    <hyperlink ref="B1" location="流动负债汇总!B12" display="应交税费"/>
  </hyperlinks>
  <printOptions horizontalCentered="1"/>
  <pageMargins left="0.35433070866141736" right="0.35433070866141736" top="0.78740157480314965" bottom="0.78740157480314965" header="1.01" footer="0.51181102362204722"/>
  <pageSetup paperSize="9" scale="83" fitToHeight="0" orientation="landscape" horizontalDpi="4294967292" r:id="rId1"/>
  <headerFooter alignWithMargins="0">
    <oddHeader>&amp;R&amp;"宋体,常规"&amp;10表&amp;"Times New Roman,常规"5-7
&amp;"宋体,常规"共&amp;"Times New Roman,常规"&amp;N&amp;"宋体,常规"页第&amp;"Times New Roman,常规"&amp;P&amp;"宋体,常规"页</oddHeader>
  </headerFooter>
  <legacyDrawing r:id="rId2"/>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0">
    <pageSetUpPr fitToPage="1"/>
  </sheetPr>
  <dimension ref="A1:L29"/>
  <sheetViews>
    <sheetView workbookViewId="0">
      <selection activeCell="H10" sqref="H10"/>
    </sheetView>
  </sheetViews>
  <sheetFormatPr defaultRowHeight="15.75" customHeight="1" outlineLevelCol="1"/>
  <cols>
    <col min="1" max="1" width="5" style="4" customWidth="1"/>
    <col min="2" max="2" width="23.375" style="4" customWidth="1"/>
    <col min="3" max="3" width="13.375" style="4" customWidth="1"/>
    <col min="4" max="4" width="11" style="4" customWidth="1"/>
    <col min="5" max="5" width="11.375" style="4" bestFit="1" customWidth="1"/>
    <col min="6" max="6" width="9.125" style="4" customWidth="1"/>
    <col min="7" max="8" width="14.5" style="4" customWidth="1" outlineLevel="1"/>
    <col min="9" max="10" width="14.5" style="4" customWidth="1"/>
    <col min="11" max="11" width="12.625" style="4" customWidth="1"/>
    <col min="12" max="16384" width="9" style="4"/>
  </cols>
  <sheetData>
    <row r="1" spans="1:12" ht="14.25">
      <c r="A1" s="272" t="s">
        <v>130</v>
      </c>
      <c r="B1" s="196" t="s">
        <v>132</v>
      </c>
      <c r="C1" s="1"/>
      <c r="D1" s="1"/>
      <c r="E1" s="1"/>
      <c r="F1" s="1"/>
      <c r="G1" s="1"/>
      <c r="H1" s="1"/>
      <c r="I1" s="1"/>
      <c r="J1" s="1"/>
      <c r="K1" s="1"/>
      <c r="L1" s="1"/>
    </row>
    <row r="2" spans="1:12" s="114" customFormat="1" ht="30" customHeight="1">
      <c r="A2" s="790" t="s">
        <v>855</v>
      </c>
      <c r="B2" s="791"/>
      <c r="C2" s="791"/>
      <c r="D2" s="791"/>
      <c r="E2" s="791"/>
      <c r="F2" s="791"/>
      <c r="G2" s="791"/>
      <c r="H2" s="791"/>
      <c r="I2" s="791"/>
      <c r="J2" s="791"/>
      <c r="K2" s="791"/>
      <c r="L2" s="791"/>
    </row>
    <row r="3" spans="1:12" ht="14.1" customHeight="1">
      <c r="A3" s="792" t="e">
        <f>CONCATENATE(#REF!,#REF!,#REF!,#REF!,#REF!,#REF!,#REF!)</f>
        <v>#REF!</v>
      </c>
      <c r="B3" s="792"/>
      <c r="C3" s="792"/>
      <c r="D3" s="792"/>
      <c r="E3" s="792"/>
      <c r="F3" s="792"/>
      <c r="G3" s="792"/>
      <c r="H3" s="792"/>
      <c r="I3" s="808"/>
      <c r="J3" s="808"/>
      <c r="K3" s="808"/>
      <c r="L3" s="808"/>
    </row>
    <row r="4" spans="1:12" ht="15.75" customHeight="1">
      <c r="A4" s="115" t="e">
        <f>#REF!&amp;#REF!</f>
        <v>#REF!</v>
      </c>
      <c r="L4" s="106" t="s">
        <v>633</v>
      </c>
    </row>
    <row r="5" spans="1:12" s="1" customFormat="1" ht="15.75" customHeight="1">
      <c r="A5" s="2" t="s">
        <v>634</v>
      </c>
      <c r="B5" s="2" t="s">
        <v>226</v>
      </c>
      <c r="C5" s="2" t="s">
        <v>635</v>
      </c>
      <c r="D5" s="2" t="s">
        <v>636</v>
      </c>
      <c r="E5" s="2" t="s">
        <v>637</v>
      </c>
      <c r="F5" s="2" t="s">
        <v>638</v>
      </c>
      <c r="G5" s="2" t="s">
        <v>426</v>
      </c>
      <c r="H5" s="2" t="s">
        <v>710</v>
      </c>
      <c r="I5" s="2" t="s">
        <v>315</v>
      </c>
      <c r="J5" s="2" t="s">
        <v>639</v>
      </c>
      <c r="K5" s="2" t="s">
        <v>640</v>
      </c>
      <c r="L5" s="2" t="s">
        <v>641</v>
      </c>
    </row>
    <row r="6" spans="1:12" ht="15.75" customHeight="1">
      <c r="A6" s="105"/>
      <c r="B6" s="128"/>
      <c r="C6" s="121"/>
      <c r="D6" s="142"/>
      <c r="E6" s="105"/>
      <c r="F6" s="105"/>
      <c r="G6" s="142"/>
      <c r="H6" s="142"/>
      <c r="I6" s="142"/>
      <c r="J6" s="142"/>
      <c r="K6" s="142" t="str">
        <f t="shared" ref="K6:K25" si="0">IF(I6=0,"",(J6-I6)/I6*100)</f>
        <v/>
      </c>
      <c r="L6" s="120"/>
    </row>
    <row r="7" spans="1:12" ht="15.75" customHeight="1">
      <c r="A7" s="105"/>
      <c r="B7" s="128"/>
      <c r="C7" s="121"/>
      <c r="D7" s="142"/>
      <c r="E7" s="105"/>
      <c r="F7" s="105"/>
      <c r="G7" s="142"/>
      <c r="H7" s="142"/>
      <c r="I7" s="142"/>
      <c r="J7" s="142"/>
      <c r="K7" s="142" t="str">
        <f t="shared" si="0"/>
        <v/>
      </c>
      <c r="L7" s="120"/>
    </row>
    <row r="8" spans="1:12" ht="15.75" customHeight="1">
      <c r="A8" s="105"/>
      <c r="B8" s="128"/>
      <c r="C8" s="121"/>
      <c r="D8" s="142"/>
      <c r="E8" s="105"/>
      <c r="F8" s="105"/>
      <c r="G8" s="142"/>
      <c r="H8" s="142"/>
      <c r="I8" s="142"/>
      <c r="J8" s="142"/>
      <c r="K8" s="142" t="str">
        <f t="shared" si="0"/>
        <v/>
      </c>
      <c r="L8" s="120"/>
    </row>
    <row r="9" spans="1:12" ht="15.75" customHeight="1">
      <c r="A9" s="105"/>
      <c r="B9" s="128"/>
      <c r="C9" s="121"/>
      <c r="D9" s="142"/>
      <c r="E9" s="105"/>
      <c r="F9" s="105"/>
      <c r="G9" s="142"/>
      <c r="H9" s="142"/>
      <c r="I9" s="142"/>
      <c r="J9" s="142"/>
      <c r="K9" s="142" t="str">
        <f t="shared" si="0"/>
        <v/>
      </c>
      <c r="L9" s="120"/>
    </row>
    <row r="10" spans="1:12" ht="15.75" customHeight="1">
      <c r="A10" s="105"/>
      <c r="B10" s="128"/>
      <c r="C10" s="121"/>
      <c r="D10" s="142"/>
      <c r="E10" s="105"/>
      <c r="F10" s="105"/>
      <c r="G10" s="142"/>
      <c r="H10" s="142"/>
      <c r="I10" s="142"/>
      <c r="J10" s="142"/>
      <c r="K10" s="142" t="str">
        <f t="shared" si="0"/>
        <v/>
      </c>
      <c r="L10" s="120"/>
    </row>
    <row r="11" spans="1:12" ht="15.75" customHeight="1">
      <c r="A11" s="105"/>
      <c r="B11" s="128"/>
      <c r="C11" s="121"/>
      <c r="D11" s="142"/>
      <c r="E11" s="105"/>
      <c r="F11" s="105"/>
      <c r="G11" s="142"/>
      <c r="H11" s="142"/>
      <c r="I11" s="142"/>
      <c r="J11" s="142"/>
      <c r="K11" s="142" t="str">
        <f t="shared" si="0"/>
        <v/>
      </c>
      <c r="L11" s="120"/>
    </row>
    <row r="12" spans="1:12" ht="15.75" customHeight="1">
      <c r="A12" s="105"/>
      <c r="B12" s="128"/>
      <c r="C12" s="121"/>
      <c r="D12" s="142"/>
      <c r="E12" s="105"/>
      <c r="F12" s="105"/>
      <c r="G12" s="142"/>
      <c r="H12" s="142"/>
      <c r="I12" s="142"/>
      <c r="J12" s="142"/>
      <c r="K12" s="142" t="str">
        <f t="shared" si="0"/>
        <v/>
      </c>
      <c r="L12" s="120"/>
    </row>
    <row r="13" spans="1:12" ht="15.75" customHeight="1">
      <c r="A13" s="105"/>
      <c r="B13" s="128"/>
      <c r="C13" s="121"/>
      <c r="D13" s="142"/>
      <c r="E13" s="105"/>
      <c r="F13" s="105"/>
      <c r="G13" s="142"/>
      <c r="H13" s="142"/>
      <c r="I13" s="142"/>
      <c r="J13" s="142"/>
      <c r="K13" s="142" t="str">
        <f t="shared" si="0"/>
        <v/>
      </c>
      <c r="L13" s="120"/>
    </row>
    <row r="14" spans="1:12" ht="15.75" customHeight="1">
      <c r="A14" s="105"/>
      <c r="B14" s="128"/>
      <c r="C14" s="121"/>
      <c r="D14" s="142"/>
      <c r="E14" s="105"/>
      <c r="F14" s="105"/>
      <c r="G14" s="142"/>
      <c r="H14" s="142"/>
      <c r="I14" s="142"/>
      <c r="J14" s="142"/>
      <c r="K14" s="142" t="str">
        <f t="shared" si="0"/>
        <v/>
      </c>
      <c r="L14" s="120"/>
    </row>
    <row r="15" spans="1:12" ht="15.75" customHeight="1">
      <c r="A15" s="105"/>
      <c r="B15" s="128"/>
      <c r="C15" s="121"/>
      <c r="D15" s="142"/>
      <c r="E15" s="105"/>
      <c r="F15" s="105"/>
      <c r="G15" s="142"/>
      <c r="H15" s="142"/>
      <c r="I15" s="142"/>
      <c r="J15" s="142"/>
      <c r="K15" s="142" t="str">
        <f t="shared" si="0"/>
        <v/>
      </c>
      <c r="L15" s="120"/>
    </row>
    <row r="16" spans="1:12" ht="15.75" customHeight="1">
      <c r="A16" s="105"/>
      <c r="B16" s="128"/>
      <c r="C16" s="121"/>
      <c r="D16" s="142"/>
      <c r="E16" s="105"/>
      <c r="F16" s="105"/>
      <c r="G16" s="142"/>
      <c r="H16" s="142"/>
      <c r="I16" s="142"/>
      <c r="J16" s="142"/>
      <c r="K16" s="142" t="str">
        <f t="shared" si="0"/>
        <v/>
      </c>
      <c r="L16" s="120"/>
    </row>
    <row r="17" spans="1:12" ht="15.75" customHeight="1">
      <c r="A17" s="105"/>
      <c r="B17" s="128"/>
      <c r="C17" s="121"/>
      <c r="D17" s="142"/>
      <c r="E17" s="105"/>
      <c r="F17" s="105"/>
      <c r="G17" s="142"/>
      <c r="H17" s="142"/>
      <c r="I17" s="142"/>
      <c r="J17" s="142"/>
      <c r="K17" s="142" t="str">
        <f t="shared" si="0"/>
        <v/>
      </c>
      <c r="L17" s="120"/>
    </row>
    <row r="18" spans="1:12" ht="15.75" customHeight="1">
      <c r="A18" s="105"/>
      <c r="B18" s="128"/>
      <c r="C18" s="121"/>
      <c r="D18" s="142"/>
      <c r="E18" s="105"/>
      <c r="F18" s="105"/>
      <c r="G18" s="142"/>
      <c r="H18" s="142"/>
      <c r="I18" s="142"/>
      <c r="J18" s="142"/>
      <c r="K18" s="142" t="str">
        <f t="shared" si="0"/>
        <v/>
      </c>
      <c r="L18" s="120"/>
    </row>
    <row r="19" spans="1:12" ht="15.75" customHeight="1">
      <c r="A19" s="105"/>
      <c r="B19" s="128"/>
      <c r="C19" s="121"/>
      <c r="D19" s="142"/>
      <c r="E19" s="105"/>
      <c r="F19" s="105"/>
      <c r="G19" s="142"/>
      <c r="H19" s="142"/>
      <c r="I19" s="142"/>
      <c r="J19" s="142"/>
      <c r="K19" s="142" t="str">
        <f t="shared" si="0"/>
        <v/>
      </c>
      <c r="L19" s="120"/>
    </row>
    <row r="20" spans="1:12" ht="15.75" customHeight="1">
      <c r="A20" s="105"/>
      <c r="B20" s="128"/>
      <c r="C20" s="121"/>
      <c r="D20" s="142"/>
      <c r="E20" s="105"/>
      <c r="F20" s="105"/>
      <c r="G20" s="142"/>
      <c r="H20" s="142"/>
      <c r="I20" s="142"/>
      <c r="J20" s="142"/>
      <c r="K20" s="142" t="str">
        <f t="shared" si="0"/>
        <v/>
      </c>
      <c r="L20" s="120"/>
    </row>
    <row r="21" spans="1:12" ht="15.75" customHeight="1">
      <c r="A21" s="105"/>
      <c r="B21" s="128"/>
      <c r="C21" s="121"/>
      <c r="D21" s="142"/>
      <c r="E21" s="105"/>
      <c r="F21" s="105"/>
      <c r="G21" s="142"/>
      <c r="H21" s="142"/>
      <c r="I21" s="142"/>
      <c r="J21" s="142"/>
      <c r="K21" s="142" t="str">
        <f t="shared" si="0"/>
        <v/>
      </c>
      <c r="L21" s="120"/>
    </row>
    <row r="22" spans="1:12" ht="15.75" customHeight="1">
      <c r="A22" s="105"/>
      <c r="B22" s="128"/>
      <c r="C22" s="121"/>
      <c r="D22" s="142"/>
      <c r="E22" s="105"/>
      <c r="F22" s="105"/>
      <c r="G22" s="142"/>
      <c r="H22" s="142"/>
      <c r="I22" s="142"/>
      <c r="J22" s="142"/>
      <c r="K22" s="142" t="str">
        <f t="shared" si="0"/>
        <v/>
      </c>
      <c r="L22" s="120"/>
    </row>
    <row r="23" spans="1:12" ht="15.75" customHeight="1">
      <c r="A23" s="105"/>
      <c r="B23" s="128"/>
      <c r="C23" s="121"/>
      <c r="D23" s="142"/>
      <c r="E23" s="105"/>
      <c r="F23" s="105"/>
      <c r="G23" s="142"/>
      <c r="H23" s="142"/>
      <c r="I23" s="142"/>
      <c r="J23" s="142"/>
      <c r="K23" s="142" t="str">
        <f t="shared" si="0"/>
        <v/>
      </c>
      <c r="L23" s="120"/>
    </row>
    <row r="24" spans="1:12" ht="15.75" customHeight="1">
      <c r="A24" s="105"/>
      <c r="B24" s="128"/>
      <c r="C24" s="121"/>
      <c r="D24" s="142"/>
      <c r="E24" s="105"/>
      <c r="F24" s="105"/>
      <c r="G24" s="142"/>
      <c r="H24" s="142"/>
      <c r="I24" s="142"/>
      <c r="J24" s="142"/>
      <c r="K24" s="142" t="str">
        <f t="shared" si="0"/>
        <v/>
      </c>
      <c r="L24" s="120"/>
    </row>
    <row r="25" spans="1:12" ht="15.75" customHeight="1">
      <c r="A25" s="105"/>
      <c r="B25" s="128"/>
      <c r="C25" s="121"/>
      <c r="D25" s="142"/>
      <c r="E25" s="105"/>
      <c r="F25" s="105"/>
      <c r="G25" s="142"/>
      <c r="H25" s="142"/>
      <c r="I25" s="142"/>
      <c r="J25" s="142"/>
      <c r="K25" s="142" t="str">
        <f t="shared" si="0"/>
        <v/>
      </c>
      <c r="L25" s="120"/>
    </row>
    <row r="26" spans="1:12" ht="15.75" customHeight="1">
      <c r="A26" s="105"/>
      <c r="B26" s="128"/>
      <c r="C26" s="121"/>
      <c r="D26" s="142"/>
      <c r="E26" s="105"/>
      <c r="F26" s="105"/>
      <c r="G26" s="142"/>
      <c r="H26" s="142"/>
      <c r="I26" s="142"/>
      <c r="J26" s="142"/>
      <c r="K26" s="142"/>
      <c r="L26" s="120"/>
    </row>
    <row r="27" spans="1:12" ht="15.75" customHeight="1">
      <c r="A27" s="809" t="s">
        <v>642</v>
      </c>
      <c r="B27" s="810"/>
      <c r="C27" s="120"/>
      <c r="D27" s="142">
        <f>SUM(D6:D26)</f>
        <v>0</v>
      </c>
      <c r="E27" s="120"/>
      <c r="F27" s="120"/>
      <c r="G27" s="142">
        <f>SUM(G6:G26)</f>
        <v>0</v>
      </c>
      <c r="H27" s="142"/>
      <c r="I27" s="142">
        <f>SUM(I6:I26)</f>
        <v>0</v>
      </c>
      <c r="J27" s="142">
        <f>SUM(J6:J26)</f>
        <v>0</v>
      </c>
      <c r="K27" s="142" t="str">
        <f>IF(I27=0,"",(J27-I27)/I27*100)</f>
        <v/>
      </c>
      <c r="L27" s="120"/>
    </row>
    <row r="28" spans="1:12" ht="15.75" customHeight="1">
      <c r="A28" s="101" t="e">
        <f>#REF!&amp;#REF!</f>
        <v>#REF!</v>
      </c>
      <c r="I28" s="115" t="e">
        <f>"评估人员："&amp;#REF!</f>
        <v>#REF!</v>
      </c>
    </row>
    <row r="29" spans="1:12" ht="15.75" customHeight="1">
      <c r="A29" s="101" t="e">
        <f>CONCATENATE(#REF!,#REF!,#REF!,#REF!,#REF!,#REF!,#REF!)</f>
        <v>#REF!</v>
      </c>
    </row>
  </sheetData>
  <mergeCells count="3">
    <mergeCell ref="A2:L2"/>
    <mergeCell ref="A3:L3"/>
    <mergeCell ref="A27:B27"/>
  </mergeCells>
  <phoneticPr fontId="6" type="noConversion"/>
  <hyperlinks>
    <hyperlink ref="A1" location="索引目录!I13" display="应付利息"/>
    <hyperlink ref="B1" location="流动负债汇总!B13" display="应付利息"/>
  </hyperlinks>
  <printOptions horizontalCentered="1"/>
  <pageMargins left="0.35433070866141736" right="0.35433070866141736" top="0.78740157480314965" bottom="0.78740157480314965" header="1.05" footer="0.51181102362204722"/>
  <pageSetup paperSize="9" scale="86" fitToHeight="0" orientation="landscape" horizontalDpi="4294967292" r:id="rId1"/>
  <headerFooter alignWithMargins="0">
    <oddHeader>&amp;R&amp;"宋体,常规"&amp;10表&amp;"Times New Roman,常规"5-8
&amp;"宋体,常规"共&amp;"Times New Roman,常规"&amp;N&amp;"宋体,常规"页第&amp;"Times New Roman,常规"&amp;P&amp;"宋体,常规"页</oddHeader>
  </headerFooter>
  <legacyDrawing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8">
    <pageSetUpPr fitToPage="1"/>
  </sheetPr>
  <dimension ref="A1:I29"/>
  <sheetViews>
    <sheetView workbookViewId="0">
      <selection activeCell="H10" sqref="H10"/>
    </sheetView>
  </sheetViews>
  <sheetFormatPr defaultRowHeight="15.75" customHeight="1" outlineLevelCol="1"/>
  <cols>
    <col min="1" max="1" width="6" style="4" customWidth="1"/>
    <col min="2" max="2" width="34.125" style="4" customWidth="1"/>
    <col min="3" max="3" width="14.25" style="4" customWidth="1"/>
    <col min="4" max="4" width="16.75" style="4" customWidth="1"/>
    <col min="5" max="5" width="16.875" style="4" customWidth="1" outlineLevel="1"/>
    <col min="6" max="6" width="10.125" style="4" customWidth="1" outlineLevel="1"/>
    <col min="7" max="8" width="16.875" style="4" customWidth="1"/>
    <col min="9" max="9" width="16.75" style="4" customWidth="1"/>
    <col min="10" max="16384" width="9" style="4"/>
  </cols>
  <sheetData>
    <row r="1" spans="1:9" ht="14.25">
      <c r="A1" s="272" t="s">
        <v>130</v>
      </c>
      <c r="B1" s="196" t="s">
        <v>131</v>
      </c>
      <c r="C1" s="1"/>
      <c r="D1" s="1"/>
      <c r="E1" s="1"/>
      <c r="F1" s="1"/>
      <c r="G1" s="1"/>
      <c r="H1" s="1"/>
      <c r="I1" s="1"/>
    </row>
    <row r="2" spans="1:9" s="114" customFormat="1" ht="30" customHeight="1">
      <c r="A2" s="790" t="s">
        <v>854</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3</v>
      </c>
    </row>
    <row r="5" spans="1:9" s="1" customFormat="1" ht="15.75" customHeight="1">
      <c r="A5" s="2" t="s">
        <v>4</v>
      </c>
      <c r="B5" s="2" t="s">
        <v>414</v>
      </c>
      <c r="C5" s="2" t="s">
        <v>53</v>
      </c>
      <c r="D5" s="2" t="s">
        <v>238</v>
      </c>
      <c r="E5" s="2" t="s">
        <v>426</v>
      </c>
      <c r="F5" s="2" t="s">
        <v>710</v>
      </c>
      <c r="G5" s="2" t="s">
        <v>315</v>
      </c>
      <c r="H5" s="2" t="s">
        <v>0</v>
      </c>
      <c r="I5" s="2" t="s">
        <v>72</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74</v>
      </c>
      <c r="B27" s="810"/>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14" display="应付股利（应付利润）"/>
    <hyperlink ref="B1" location="流动负债汇总!B14" display="应付股利（应付利润）"/>
  </hyperlinks>
  <printOptions horizontalCentered="1"/>
  <pageMargins left="0.35433070866141736" right="0.35433070866141736" top="0.78740157480314965" bottom="0.78740157480314965" header="1.06" footer="0.51181102362204722"/>
  <pageSetup paperSize="9" scale="88" fitToHeight="0" orientation="landscape" horizontalDpi="4294967292" r:id="rId1"/>
  <headerFooter alignWithMargins="0">
    <oddHeader>&amp;R&amp;"宋体,常规"&amp;10表&amp;"Times New Roman,常规"5-9
&amp;"宋体,常规"共&amp;"Times New Roman,常规"&amp;N&amp;"宋体,常规"页第&amp;"Times New Roman,常规"&amp;P&amp;"宋体,常规"页</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L91"/>
  <sheetViews>
    <sheetView zoomScaleSheetLayoutView="100" workbookViewId="0">
      <pane xSplit="2" ySplit="5" topLeftCell="C63" activePane="bottomRight" state="frozen"/>
      <selection activeCell="H10" sqref="H10"/>
      <selection pane="topRight" activeCell="H10" sqref="H10"/>
      <selection pane="bottomLeft" activeCell="H10" sqref="H10"/>
      <selection pane="bottomRight" activeCell="H10" sqref="H10"/>
    </sheetView>
  </sheetViews>
  <sheetFormatPr defaultRowHeight="15.75" customHeight="1" outlineLevelCol="1"/>
  <cols>
    <col min="1" max="1" width="5.125" style="4" customWidth="1"/>
    <col min="2" max="2" width="26" style="4" bestFit="1" customWidth="1"/>
    <col min="3" max="3" width="16.5" style="4" customWidth="1" outlineLevel="1"/>
    <col min="4" max="4" width="20" style="4" customWidth="1" outlineLevel="1"/>
    <col min="5" max="5" width="25.125" style="4" customWidth="1"/>
    <col min="6" max="6" width="24.75" style="4" customWidth="1"/>
    <col min="7" max="7" width="22.25" style="4" customWidth="1"/>
    <col min="8" max="8" width="17.375" style="138" customWidth="1"/>
    <col min="9" max="9" width="11.875" style="4" customWidth="1"/>
    <col min="10" max="10" width="9" style="4"/>
    <col min="11" max="11" width="11.875" style="4" customWidth="1"/>
    <col min="12" max="12" width="11.875" style="4" bestFit="1" customWidth="1"/>
    <col min="13" max="16384" width="9" style="4"/>
  </cols>
  <sheetData>
    <row r="1" spans="1:12" ht="12.75" customHeight="1">
      <c r="A1" s="195" t="s">
        <v>130</v>
      </c>
      <c r="B1" s="196" t="s">
        <v>131</v>
      </c>
      <c r="C1" s="1"/>
      <c r="D1" s="1"/>
      <c r="E1" s="1"/>
      <c r="F1" s="1"/>
      <c r="G1" s="1"/>
      <c r="H1" s="197"/>
    </row>
    <row r="2" spans="1:12" s="114" customFormat="1" ht="30" customHeight="1">
      <c r="A2" s="790" t="s">
        <v>55</v>
      </c>
      <c r="B2" s="791"/>
      <c r="C2" s="791"/>
      <c r="D2" s="791"/>
      <c r="E2" s="791"/>
      <c r="F2" s="791"/>
      <c r="G2" s="791"/>
      <c r="H2" s="791"/>
    </row>
    <row r="3" spans="1:12" ht="15" customHeight="1">
      <c r="A3" s="792" t="e">
        <f>CONCATENATE(#REF!,#REF!,#REF!,#REF!,#REF!,#REF!,#REF!)</f>
        <v>#REF!</v>
      </c>
      <c r="B3" s="792"/>
      <c r="C3" s="792"/>
      <c r="D3" s="792"/>
      <c r="E3" s="792"/>
      <c r="F3" s="792"/>
      <c r="G3" s="792"/>
      <c r="H3" s="792"/>
    </row>
    <row r="4" spans="1:12" ht="12" customHeight="1">
      <c r="A4" s="115" t="e">
        <f>#REF!&amp;#REF!</f>
        <v>#REF!</v>
      </c>
      <c r="H4" s="112" t="s">
        <v>3</v>
      </c>
      <c r="J4" s="212" t="str">
        <f>IF(COUNTIF(J6:J64,"&gt;0")+COUNTIF(J6:J64,"&lt;0")&gt;0,"出错","OK")</f>
        <v>OK</v>
      </c>
      <c r="L4" s="212" t="str">
        <f>IF(COUNTIF(L6:L64,"&gt;0")+COUNTIF(L6:L64,"&lt;0")&gt;0,"出错","OK")</f>
        <v>OK</v>
      </c>
    </row>
    <row r="5" spans="1:12" s="116" customFormat="1" ht="14.25" customHeight="1">
      <c r="A5" s="102" t="s">
        <v>4</v>
      </c>
      <c r="B5" s="107" t="s">
        <v>2</v>
      </c>
      <c r="C5" s="102" t="s">
        <v>426</v>
      </c>
      <c r="D5" s="102" t="s">
        <v>346</v>
      </c>
      <c r="E5" s="102" t="s">
        <v>315</v>
      </c>
      <c r="F5" s="102" t="s">
        <v>0</v>
      </c>
      <c r="G5" s="102" t="s">
        <v>19</v>
      </c>
      <c r="H5" s="103" t="s">
        <v>20</v>
      </c>
      <c r="I5" s="206" t="s">
        <v>422</v>
      </c>
      <c r="J5" s="206" t="s">
        <v>459</v>
      </c>
      <c r="K5" s="213" t="s">
        <v>421</v>
      </c>
      <c r="L5" s="213" t="s">
        <v>420</v>
      </c>
    </row>
    <row r="6" spans="1:12" s="126" customFormat="1" ht="14.25" customHeight="1">
      <c r="A6" s="219">
        <v>1</v>
      </c>
      <c r="B6" s="226" t="s">
        <v>222</v>
      </c>
      <c r="C6" s="221">
        <f>SUM(C7:C17)</f>
        <v>0</v>
      </c>
      <c r="D6" s="221">
        <f>SUM(D7:D17)</f>
        <v>0</v>
      </c>
      <c r="E6" s="221">
        <f>SUM(E7:E17)</f>
        <v>0</v>
      </c>
      <c r="F6" s="221">
        <f>SUM(F7:F17)</f>
        <v>0</v>
      </c>
      <c r="G6" s="221">
        <f>SUM(G7:G17)</f>
        <v>0</v>
      </c>
      <c r="H6" s="222" t="str">
        <f>IF(E6=0,"",G6/ABS(E6)*100)</f>
        <v/>
      </c>
      <c r="I6" s="223">
        <f>资产负债表!D18</f>
        <v>0</v>
      </c>
      <c r="J6" s="223">
        <f>ROUND(C6-I6,2)</f>
        <v>0</v>
      </c>
      <c r="K6" s="224">
        <f>SUMIF(审定数!$A:$A,"流动资产合计",审定数!$B:$B)</f>
        <v>0</v>
      </c>
      <c r="L6" s="225">
        <f>ROUND(E6-K6,2)</f>
        <v>0</v>
      </c>
    </row>
    <row r="7" spans="1:12" ht="14.25" customHeight="1">
      <c r="A7" s="105">
        <v>2</v>
      </c>
      <c r="B7" s="204" t="s">
        <v>5</v>
      </c>
      <c r="C7" s="142">
        <f>流动汇总!E6</f>
        <v>0</v>
      </c>
      <c r="D7" s="142">
        <f>E7-C7</f>
        <v>0</v>
      </c>
      <c r="E7" s="142">
        <f>流动汇总!F6</f>
        <v>0</v>
      </c>
      <c r="F7" s="142">
        <f>流动汇总!G6</f>
        <v>0</v>
      </c>
      <c r="G7" s="142">
        <f t="shared" ref="G7:G60" si="0">F7-E7</f>
        <v>0</v>
      </c>
      <c r="H7" s="143" t="str">
        <f t="shared" ref="H7:H64" si="1">IF(E7=0,"",G7/ABS(E7)*100)</f>
        <v/>
      </c>
      <c r="I7" s="207">
        <f>资产负债表!D7</f>
        <v>0</v>
      </c>
      <c r="J7" s="223">
        <f t="shared" ref="J7:J64" si="2">ROUND(C7-I7,2)</f>
        <v>0</v>
      </c>
      <c r="K7" s="215">
        <f>SUMIF(审定数!$A:$A,B7,审定数!$B:$B)</f>
        <v>0</v>
      </c>
      <c r="L7" s="225">
        <f t="shared" ref="L7:L64" si="3">ROUND(E7-K7,2)</f>
        <v>0</v>
      </c>
    </row>
    <row r="8" spans="1:12" ht="14.25" customHeight="1">
      <c r="A8" s="105">
        <v>3</v>
      </c>
      <c r="B8" s="204" t="s">
        <v>429</v>
      </c>
      <c r="C8" s="142">
        <f>流动汇总!E7</f>
        <v>0</v>
      </c>
      <c r="D8" s="142">
        <f t="shared" ref="D8:D17" si="4">E8-C8</f>
        <v>0</v>
      </c>
      <c r="E8" s="142">
        <f>流动汇总!F7</f>
        <v>0</v>
      </c>
      <c r="F8" s="142">
        <f>流动汇总!G7</f>
        <v>0</v>
      </c>
      <c r="G8" s="142">
        <f t="shared" si="0"/>
        <v>0</v>
      </c>
      <c r="H8" s="143" t="str">
        <f t="shared" si="1"/>
        <v/>
      </c>
      <c r="I8" s="207">
        <f>资产负债表!D8</f>
        <v>0</v>
      </c>
      <c r="J8" s="223">
        <f t="shared" si="2"/>
        <v>0</v>
      </c>
      <c r="K8" s="215">
        <f>SUMIF(审定数!$A:$A,B8,审定数!$B:$B)</f>
        <v>0</v>
      </c>
      <c r="L8" s="225">
        <f t="shared" si="3"/>
        <v>0</v>
      </c>
    </row>
    <row r="9" spans="1:12" ht="14.25" customHeight="1">
      <c r="A9" s="105">
        <v>4</v>
      </c>
      <c r="B9" s="204" t="s">
        <v>6</v>
      </c>
      <c r="C9" s="142">
        <f>流动汇总!E8</f>
        <v>0</v>
      </c>
      <c r="D9" s="142">
        <f t="shared" si="4"/>
        <v>0</v>
      </c>
      <c r="E9" s="142">
        <f>流动汇总!F8</f>
        <v>0</v>
      </c>
      <c r="F9" s="142">
        <f>流动汇总!G8</f>
        <v>0</v>
      </c>
      <c r="G9" s="142">
        <f t="shared" si="0"/>
        <v>0</v>
      </c>
      <c r="H9" s="143" t="str">
        <f t="shared" si="1"/>
        <v/>
      </c>
      <c r="I9" s="207">
        <f>资产负债表!D9</f>
        <v>0</v>
      </c>
      <c r="J9" s="223">
        <f t="shared" si="2"/>
        <v>0</v>
      </c>
      <c r="K9" s="215">
        <f>SUMIF(审定数!$A:$A,B9,审定数!$B:$B)</f>
        <v>0</v>
      </c>
      <c r="L9" s="225">
        <f t="shared" si="3"/>
        <v>0</v>
      </c>
    </row>
    <row r="10" spans="1:12" ht="14.25" customHeight="1">
      <c r="A10" s="105">
        <v>5</v>
      </c>
      <c r="B10" s="204" t="s">
        <v>430</v>
      </c>
      <c r="C10" s="142">
        <f>流动汇总!E9</f>
        <v>0</v>
      </c>
      <c r="D10" s="142">
        <f t="shared" si="4"/>
        <v>0</v>
      </c>
      <c r="E10" s="142">
        <f>流动汇总!F9</f>
        <v>0</v>
      </c>
      <c r="F10" s="142">
        <f>流动汇总!G9</f>
        <v>0</v>
      </c>
      <c r="G10" s="142">
        <f t="shared" si="0"/>
        <v>0</v>
      </c>
      <c r="H10" s="143" t="str">
        <f t="shared" si="1"/>
        <v/>
      </c>
      <c r="I10" s="207">
        <f>资产负债表!D10</f>
        <v>0</v>
      </c>
      <c r="J10" s="223">
        <f t="shared" si="2"/>
        <v>0</v>
      </c>
      <c r="K10" s="215">
        <f>SUMIF(审定数!$A:$A,B10,审定数!$B:$B)</f>
        <v>0</v>
      </c>
      <c r="L10" s="225">
        <f t="shared" si="3"/>
        <v>0</v>
      </c>
    </row>
    <row r="11" spans="1:12" ht="14.25" customHeight="1">
      <c r="A11" s="105">
        <v>6</v>
      </c>
      <c r="B11" s="204" t="s">
        <v>433</v>
      </c>
      <c r="C11" s="142">
        <f>流动汇总!E10</f>
        <v>0</v>
      </c>
      <c r="D11" s="142">
        <f t="shared" si="4"/>
        <v>0</v>
      </c>
      <c r="E11" s="142">
        <f>流动汇总!F10</f>
        <v>0</v>
      </c>
      <c r="F11" s="142">
        <f>流动汇总!G10</f>
        <v>0</v>
      </c>
      <c r="G11" s="142">
        <f t="shared" si="0"/>
        <v>0</v>
      </c>
      <c r="H11" s="143" t="str">
        <f t="shared" si="1"/>
        <v/>
      </c>
      <c r="I11" s="207">
        <f>资产负债表!D11</f>
        <v>0</v>
      </c>
      <c r="J11" s="223">
        <f t="shared" si="2"/>
        <v>0</v>
      </c>
      <c r="K11" s="215">
        <f>SUMIF(审定数!$A:$A,B11,审定数!$B:$B)+SUMIF(审定数!$A:$A,"预付账款",审定数!$B:$B)</f>
        <v>0</v>
      </c>
      <c r="L11" s="225">
        <f t="shared" si="3"/>
        <v>0</v>
      </c>
    </row>
    <row r="12" spans="1:12" ht="14.25" customHeight="1">
      <c r="A12" s="105">
        <v>7</v>
      </c>
      <c r="B12" s="204" t="s">
        <v>8</v>
      </c>
      <c r="C12" s="142">
        <f>流动汇总!E11</f>
        <v>0</v>
      </c>
      <c r="D12" s="142">
        <f t="shared" si="4"/>
        <v>0</v>
      </c>
      <c r="E12" s="142">
        <f>流动汇总!F11</f>
        <v>0</v>
      </c>
      <c r="F12" s="142">
        <f>流动汇总!G11</f>
        <v>0</v>
      </c>
      <c r="G12" s="142">
        <f t="shared" si="0"/>
        <v>0</v>
      </c>
      <c r="H12" s="143" t="str">
        <f t="shared" si="1"/>
        <v/>
      </c>
      <c r="I12" s="207">
        <f>资产负债表!D12</f>
        <v>0</v>
      </c>
      <c r="J12" s="223">
        <f t="shared" si="2"/>
        <v>0</v>
      </c>
      <c r="K12" s="215">
        <f>SUMIF(审定数!$A:$A,B12,审定数!$B:$B)</f>
        <v>0</v>
      </c>
      <c r="L12" s="225">
        <f t="shared" si="3"/>
        <v>0</v>
      </c>
    </row>
    <row r="13" spans="1:12" ht="14.25" customHeight="1">
      <c r="A13" s="105">
        <v>8</v>
      </c>
      <c r="B13" s="204" t="s">
        <v>7</v>
      </c>
      <c r="C13" s="142">
        <f>流动汇总!E12</f>
        <v>0</v>
      </c>
      <c r="D13" s="142">
        <f t="shared" si="4"/>
        <v>0</v>
      </c>
      <c r="E13" s="142">
        <f>流动汇总!F12</f>
        <v>0</v>
      </c>
      <c r="F13" s="142">
        <f>流动汇总!G12</f>
        <v>0</v>
      </c>
      <c r="G13" s="142">
        <f t="shared" si="0"/>
        <v>0</v>
      </c>
      <c r="H13" s="143" t="str">
        <f t="shared" si="1"/>
        <v/>
      </c>
      <c r="I13" s="207">
        <f>资产负债表!D13</f>
        <v>0</v>
      </c>
      <c r="J13" s="223">
        <f t="shared" si="2"/>
        <v>0</v>
      </c>
      <c r="K13" s="215">
        <f>SUMIF(审定数!$A:$A,B13,审定数!$B:$B)</f>
        <v>0</v>
      </c>
      <c r="L13" s="225">
        <f t="shared" si="3"/>
        <v>0</v>
      </c>
    </row>
    <row r="14" spans="1:12" ht="14.25" customHeight="1">
      <c r="A14" s="105">
        <v>9</v>
      </c>
      <c r="B14" s="204" t="s">
        <v>9</v>
      </c>
      <c r="C14" s="142">
        <f>流动汇总!E13</f>
        <v>0</v>
      </c>
      <c r="D14" s="142">
        <f t="shared" si="4"/>
        <v>0</v>
      </c>
      <c r="E14" s="142">
        <f>流动汇总!F13</f>
        <v>0</v>
      </c>
      <c r="F14" s="142">
        <f>流动汇总!G13</f>
        <v>0</v>
      </c>
      <c r="G14" s="142">
        <f t="shared" si="0"/>
        <v>0</v>
      </c>
      <c r="H14" s="143" t="str">
        <f t="shared" si="1"/>
        <v/>
      </c>
      <c r="I14" s="207">
        <f>资产负债表!D14</f>
        <v>0</v>
      </c>
      <c r="J14" s="223">
        <f t="shared" si="2"/>
        <v>0</v>
      </c>
      <c r="K14" s="215">
        <f>SUMIF(审定数!$A:$A,B14,审定数!$B:$B)</f>
        <v>0</v>
      </c>
      <c r="L14" s="225">
        <f t="shared" si="3"/>
        <v>0</v>
      </c>
    </row>
    <row r="15" spans="1:12" ht="14.25" customHeight="1">
      <c r="A15" s="105">
        <v>10</v>
      </c>
      <c r="B15" s="204" t="s">
        <v>10</v>
      </c>
      <c r="C15" s="142">
        <f>流动汇总!E14</f>
        <v>0</v>
      </c>
      <c r="D15" s="142">
        <f t="shared" si="4"/>
        <v>0</v>
      </c>
      <c r="E15" s="142">
        <f>流动汇总!F14</f>
        <v>0</v>
      </c>
      <c r="F15" s="142">
        <f>流动汇总!G14</f>
        <v>0</v>
      </c>
      <c r="G15" s="142">
        <f t="shared" si="0"/>
        <v>0</v>
      </c>
      <c r="H15" s="143" t="str">
        <f t="shared" si="1"/>
        <v/>
      </c>
      <c r="I15" s="207">
        <f>资产负债表!D15</f>
        <v>0</v>
      </c>
      <c r="J15" s="223">
        <f t="shared" si="2"/>
        <v>0</v>
      </c>
      <c r="K15" s="215">
        <f>SUMIF(审定数!$A:$A,B15,审定数!$B:$B)</f>
        <v>0</v>
      </c>
      <c r="L15" s="225">
        <f t="shared" si="3"/>
        <v>0</v>
      </c>
    </row>
    <row r="16" spans="1:12" ht="14.25" customHeight="1">
      <c r="A16" s="105">
        <v>11</v>
      </c>
      <c r="B16" s="204" t="s">
        <v>432</v>
      </c>
      <c r="C16" s="142">
        <f>流动汇总!E15</f>
        <v>0</v>
      </c>
      <c r="D16" s="142">
        <f t="shared" si="4"/>
        <v>0</v>
      </c>
      <c r="E16" s="142">
        <f>流动汇总!F15</f>
        <v>0</v>
      </c>
      <c r="F16" s="142">
        <f>流动汇总!G15</f>
        <v>0</v>
      </c>
      <c r="G16" s="142">
        <f t="shared" si="0"/>
        <v>0</v>
      </c>
      <c r="H16" s="143" t="str">
        <f t="shared" si="1"/>
        <v/>
      </c>
      <c r="I16" s="207">
        <f>资产负债表!D16</f>
        <v>0</v>
      </c>
      <c r="J16" s="223">
        <f t="shared" si="2"/>
        <v>0</v>
      </c>
      <c r="K16" s="215">
        <f>SUMIF(审定数!$A:$A,B16,审定数!$B:$B)</f>
        <v>0</v>
      </c>
      <c r="L16" s="225">
        <f t="shared" si="3"/>
        <v>0</v>
      </c>
    </row>
    <row r="17" spans="1:12" ht="14.25" customHeight="1">
      <c r="A17" s="105">
        <v>12</v>
      </c>
      <c r="B17" s="204" t="s">
        <v>223</v>
      </c>
      <c r="C17" s="142">
        <f>流动汇总!E16</f>
        <v>0</v>
      </c>
      <c r="D17" s="142">
        <f t="shared" si="4"/>
        <v>0</v>
      </c>
      <c r="E17" s="142">
        <f>流动汇总!F16</f>
        <v>0</v>
      </c>
      <c r="F17" s="142">
        <f>流动汇总!G16</f>
        <v>0</v>
      </c>
      <c r="G17" s="142">
        <f t="shared" si="0"/>
        <v>0</v>
      </c>
      <c r="H17" s="143" t="str">
        <f t="shared" si="1"/>
        <v/>
      </c>
      <c r="I17" s="207">
        <f>资产负债表!D17</f>
        <v>0</v>
      </c>
      <c r="J17" s="223">
        <f t="shared" si="2"/>
        <v>0</v>
      </c>
      <c r="K17" s="215">
        <f>SUMIF(审定数!$A:$A,B17,审定数!$B:$B)</f>
        <v>0</v>
      </c>
      <c r="L17" s="225">
        <f t="shared" si="3"/>
        <v>0</v>
      </c>
    </row>
    <row r="18" spans="1:12" ht="14.25" customHeight="1">
      <c r="A18" s="105">
        <v>13</v>
      </c>
      <c r="B18" s="205"/>
      <c r="C18" s="142"/>
      <c r="D18" s="142"/>
      <c r="E18" s="142"/>
      <c r="F18" s="142"/>
      <c r="G18" s="142"/>
      <c r="H18" s="143" t="str">
        <f t="shared" si="1"/>
        <v/>
      </c>
      <c r="I18" s="207"/>
      <c r="J18" s="223">
        <f t="shared" si="2"/>
        <v>0</v>
      </c>
      <c r="K18" s="215">
        <f>SUMIF(审定数!$A:$A,B18,审定数!$B:$B)</f>
        <v>0</v>
      </c>
      <c r="L18" s="225">
        <f t="shared" si="3"/>
        <v>0</v>
      </c>
    </row>
    <row r="19" spans="1:12" s="126" customFormat="1" ht="14.25" customHeight="1">
      <c r="A19" s="219">
        <v>14</v>
      </c>
      <c r="B19" s="226" t="s">
        <v>434</v>
      </c>
      <c r="C19" s="221" t="e">
        <f>SUM(C20:C36)</f>
        <v>#REF!</v>
      </c>
      <c r="D19" s="221" t="e">
        <f>SUM(D20:D36)</f>
        <v>#REF!</v>
      </c>
      <c r="E19" s="221" t="e">
        <f>SUM(E20:E36)</f>
        <v>#REF!</v>
      </c>
      <c r="F19" s="221" t="e">
        <f>SUM(F20:F36)</f>
        <v>#REF!</v>
      </c>
      <c r="G19" s="221" t="e">
        <f>SUM(G20:G36)</f>
        <v>#REF!</v>
      </c>
      <c r="H19" s="222" t="e">
        <f t="shared" si="1"/>
        <v>#REF!</v>
      </c>
      <c r="I19" s="223">
        <f>资产负债表!D37</f>
        <v>0</v>
      </c>
      <c r="J19" s="223" t="e">
        <f t="shared" si="2"/>
        <v>#REF!</v>
      </c>
      <c r="K19" s="224">
        <f>SUMIF(审定数!$A:$A,"非流动资产合计",审定数!$B:$B)</f>
        <v>0</v>
      </c>
      <c r="L19" s="225" t="e">
        <f t="shared" si="3"/>
        <v>#REF!</v>
      </c>
    </row>
    <row r="20" spans="1:12" ht="14.25" customHeight="1">
      <c r="A20" s="105">
        <v>15</v>
      </c>
      <c r="B20" s="204" t="s">
        <v>436</v>
      </c>
      <c r="C20" s="142">
        <f>非流动资产汇总!C6</f>
        <v>0</v>
      </c>
      <c r="D20" s="142">
        <f t="shared" ref="D20:D36" si="5">E20-C20</f>
        <v>0</v>
      </c>
      <c r="E20" s="142">
        <f>非流动资产汇总!D6</f>
        <v>0</v>
      </c>
      <c r="F20" s="142">
        <f>非流动资产汇总!E6</f>
        <v>0</v>
      </c>
      <c r="G20" s="142">
        <f t="shared" si="0"/>
        <v>0</v>
      </c>
      <c r="H20" s="143" t="str">
        <f t="shared" si="1"/>
        <v/>
      </c>
      <c r="I20" s="207">
        <f>资产负债表!D20</f>
        <v>0</v>
      </c>
      <c r="J20" s="223">
        <f t="shared" si="2"/>
        <v>0</v>
      </c>
      <c r="K20" s="215">
        <f>SUMIF(审定数!$A:$A,B20,审定数!$B:$B)</f>
        <v>0</v>
      </c>
      <c r="L20" s="225">
        <f t="shared" si="3"/>
        <v>0</v>
      </c>
    </row>
    <row r="21" spans="1:12" ht="14.25" customHeight="1">
      <c r="A21" s="105">
        <v>16</v>
      </c>
      <c r="B21" s="204" t="s">
        <v>437</v>
      </c>
      <c r="C21" s="142">
        <f>非流动资产汇总!C7</f>
        <v>0</v>
      </c>
      <c r="D21" s="142">
        <f>E21-C21</f>
        <v>0</v>
      </c>
      <c r="E21" s="142">
        <f>非流动资产汇总!D7</f>
        <v>0</v>
      </c>
      <c r="F21" s="142">
        <f>非流动资产汇总!E7</f>
        <v>0</v>
      </c>
      <c r="G21" s="142">
        <f t="shared" si="0"/>
        <v>0</v>
      </c>
      <c r="H21" s="143" t="str">
        <f t="shared" si="1"/>
        <v/>
      </c>
      <c r="I21" s="207">
        <f>资产负债表!D21</f>
        <v>0</v>
      </c>
      <c r="J21" s="223">
        <f t="shared" si="2"/>
        <v>0</v>
      </c>
      <c r="K21" s="215">
        <f>SUMIF(审定数!$A:$A,B21,审定数!$B:$B)</f>
        <v>0</v>
      </c>
      <c r="L21" s="225">
        <f t="shared" si="3"/>
        <v>0</v>
      </c>
    </row>
    <row r="22" spans="1:12" ht="14.25" customHeight="1">
      <c r="A22" s="105">
        <v>17</v>
      </c>
      <c r="B22" s="204" t="s">
        <v>438</v>
      </c>
      <c r="C22" s="142">
        <f>非流动资产汇总!C8</f>
        <v>0</v>
      </c>
      <c r="D22" s="142">
        <f>E22-C22</f>
        <v>0</v>
      </c>
      <c r="E22" s="142">
        <f>非流动资产汇总!D8</f>
        <v>0</v>
      </c>
      <c r="F22" s="142">
        <f>非流动资产汇总!E8</f>
        <v>0</v>
      </c>
      <c r="G22" s="142">
        <f t="shared" si="0"/>
        <v>0</v>
      </c>
      <c r="H22" s="143" t="str">
        <f t="shared" si="1"/>
        <v/>
      </c>
      <c r="I22" s="207">
        <f>资产负债表!D22</f>
        <v>0</v>
      </c>
      <c r="J22" s="223">
        <f t="shared" si="2"/>
        <v>0</v>
      </c>
      <c r="K22" s="215">
        <f>SUMIF(审定数!$A:$A,B22,审定数!$B:$B)</f>
        <v>0</v>
      </c>
      <c r="L22" s="225">
        <f t="shared" si="3"/>
        <v>0</v>
      </c>
    </row>
    <row r="23" spans="1:12" ht="14.25" customHeight="1">
      <c r="A23" s="105">
        <v>18</v>
      </c>
      <c r="B23" s="204" t="s">
        <v>439</v>
      </c>
      <c r="C23" s="142">
        <f>非流动资产汇总!C9</f>
        <v>0</v>
      </c>
      <c r="D23" s="142">
        <f>E23-C23</f>
        <v>0</v>
      </c>
      <c r="E23" s="142">
        <f>非流动资产汇总!D9</f>
        <v>0</v>
      </c>
      <c r="F23" s="142">
        <f>非流动资产汇总!E9</f>
        <v>0</v>
      </c>
      <c r="G23" s="142">
        <f t="shared" si="0"/>
        <v>0</v>
      </c>
      <c r="H23" s="143" t="str">
        <f t="shared" si="1"/>
        <v/>
      </c>
      <c r="I23" s="207">
        <f>资产负债表!D23</f>
        <v>0</v>
      </c>
      <c r="J23" s="223">
        <f t="shared" si="2"/>
        <v>0</v>
      </c>
      <c r="K23" s="215">
        <f>SUMIF(审定数!$A:$A,B23,审定数!$B:$B)</f>
        <v>0</v>
      </c>
      <c r="L23" s="225">
        <f t="shared" si="3"/>
        <v>0</v>
      </c>
    </row>
    <row r="24" spans="1:12" ht="14.25" customHeight="1">
      <c r="A24" s="105">
        <v>19</v>
      </c>
      <c r="B24" s="204" t="s">
        <v>440</v>
      </c>
      <c r="C24" s="142">
        <f>非流动资产汇总!C10</f>
        <v>0</v>
      </c>
      <c r="D24" s="142">
        <f>E24-C24</f>
        <v>0</v>
      </c>
      <c r="E24" s="142">
        <f>非流动资产汇总!D10</f>
        <v>0</v>
      </c>
      <c r="F24" s="142">
        <f>非流动资产汇总!E10</f>
        <v>0</v>
      </c>
      <c r="G24" s="142">
        <f t="shared" si="0"/>
        <v>0</v>
      </c>
      <c r="H24" s="143" t="str">
        <f t="shared" si="1"/>
        <v/>
      </c>
      <c r="I24" s="207">
        <f>资产负债表!D24</f>
        <v>0</v>
      </c>
      <c r="J24" s="223">
        <f t="shared" si="2"/>
        <v>0</v>
      </c>
      <c r="K24" s="215">
        <f>SUMIF(审定数!$A:$A,B24,审定数!$B:$B)</f>
        <v>0</v>
      </c>
      <c r="L24" s="225">
        <f t="shared" si="3"/>
        <v>0</v>
      </c>
    </row>
    <row r="25" spans="1:12" ht="14.25" customHeight="1">
      <c r="A25" s="105">
        <v>20</v>
      </c>
      <c r="B25" s="204" t="s">
        <v>225</v>
      </c>
      <c r="C25" s="142" t="e">
        <f>非流动资产汇总!C11</f>
        <v>#REF!</v>
      </c>
      <c r="D25" s="142" t="e">
        <f t="shared" si="5"/>
        <v>#REF!</v>
      </c>
      <c r="E25" s="142" t="e">
        <f>非流动资产汇总!D11</f>
        <v>#REF!</v>
      </c>
      <c r="F25" s="142" t="e">
        <f>非流动资产汇总!E11</f>
        <v>#REF!</v>
      </c>
      <c r="G25" s="142" t="e">
        <f t="shared" si="0"/>
        <v>#REF!</v>
      </c>
      <c r="H25" s="143" t="e">
        <f t="shared" si="1"/>
        <v>#REF!</v>
      </c>
      <c r="I25" s="207">
        <f>资产负债表!D25</f>
        <v>0</v>
      </c>
      <c r="J25" s="223" t="e">
        <f t="shared" si="2"/>
        <v>#REF!</v>
      </c>
      <c r="K25" s="215">
        <f>SUMIF(审定数!$A:$A,B25,审定数!$B:$B)</f>
        <v>0</v>
      </c>
      <c r="L25" s="225" t="e">
        <f t="shared" si="3"/>
        <v>#REF!</v>
      </c>
    </row>
    <row r="26" spans="1:12" ht="14.25" customHeight="1">
      <c r="A26" s="105">
        <v>21</v>
      </c>
      <c r="B26" s="204" t="s">
        <v>476</v>
      </c>
      <c r="C26" s="142">
        <f>非流动资产汇总!C12</f>
        <v>0</v>
      </c>
      <c r="D26" s="142">
        <f t="shared" si="5"/>
        <v>0</v>
      </c>
      <c r="E26" s="142">
        <f>非流动资产汇总!D12</f>
        <v>0</v>
      </c>
      <c r="F26" s="142">
        <f>非流动资产汇总!E12</f>
        <v>0</v>
      </c>
      <c r="G26" s="142">
        <f t="shared" si="0"/>
        <v>0</v>
      </c>
      <c r="H26" s="143" t="str">
        <f t="shared" si="1"/>
        <v/>
      </c>
      <c r="I26" s="207">
        <f>资产负债表!D26</f>
        <v>0</v>
      </c>
      <c r="J26" s="223">
        <f t="shared" si="2"/>
        <v>0</v>
      </c>
      <c r="K26" s="215">
        <f>SUMIF(审定数!$A:$A,B26,审定数!$B:$B)</f>
        <v>0</v>
      </c>
      <c r="L26" s="225">
        <f t="shared" si="3"/>
        <v>0</v>
      </c>
    </row>
    <row r="27" spans="1:12" ht="14.25" customHeight="1">
      <c r="A27" s="105">
        <v>22</v>
      </c>
      <c r="B27" s="204" t="s">
        <v>11</v>
      </c>
      <c r="C27" s="142">
        <f>非流动资产汇总!C13</f>
        <v>0</v>
      </c>
      <c r="D27" s="142">
        <f t="shared" si="5"/>
        <v>0</v>
      </c>
      <c r="E27" s="142">
        <f>非流动资产汇总!D13</f>
        <v>0</v>
      </c>
      <c r="F27" s="142">
        <f>非流动资产汇总!E13</f>
        <v>0</v>
      </c>
      <c r="G27" s="142">
        <f t="shared" si="0"/>
        <v>0</v>
      </c>
      <c r="H27" s="143" t="str">
        <f t="shared" si="1"/>
        <v/>
      </c>
      <c r="I27" s="207">
        <f>资产负债表!D27</f>
        <v>0</v>
      </c>
      <c r="J27" s="223">
        <f t="shared" si="2"/>
        <v>0</v>
      </c>
      <c r="K27" s="215">
        <f>SUMIF(审定数!$A:$A,B27,审定数!$B:$B)</f>
        <v>0</v>
      </c>
      <c r="L27" s="225">
        <f t="shared" si="3"/>
        <v>0</v>
      </c>
    </row>
    <row r="28" spans="1:12" ht="14.25" customHeight="1">
      <c r="A28" s="105">
        <v>23</v>
      </c>
      <c r="B28" s="204" t="s">
        <v>12</v>
      </c>
      <c r="C28" s="142">
        <f>非流动资产汇总!C14</f>
        <v>0</v>
      </c>
      <c r="D28" s="142">
        <f t="shared" si="5"/>
        <v>0</v>
      </c>
      <c r="E28" s="142">
        <f>非流动资产汇总!D14</f>
        <v>0</v>
      </c>
      <c r="F28" s="142">
        <f>非流动资产汇总!E14</f>
        <v>0</v>
      </c>
      <c r="G28" s="142">
        <f t="shared" si="0"/>
        <v>0</v>
      </c>
      <c r="H28" s="143" t="str">
        <f t="shared" si="1"/>
        <v/>
      </c>
      <c r="I28" s="207">
        <f>资产负债表!D28</f>
        <v>0</v>
      </c>
      <c r="J28" s="223">
        <f t="shared" si="2"/>
        <v>0</v>
      </c>
      <c r="K28" s="215">
        <f>SUMIF(审定数!$A:$A,B28,审定数!$B:$B)</f>
        <v>0</v>
      </c>
      <c r="L28" s="225">
        <f t="shared" si="3"/>
        <v>0</v>
      </c>
    </row>
    <row r="29" spans="1:12" ht="14.25" customHeight="1">
      <c r="A29" s="105">
        <v>24</v>
      </c>
      <c r="B29" s="204" t="s">
        <v>570</v>
      </c>
      <c r="C29" s="142">
        <f>非流动资产汇总!C15</f>
        <v>0</v>
      </c>
      <c r="D29" s="142">
        <f t="shared" si="5"/>
        <v>0</v>
      </c>
      <c r="E29" s="142">
        <f>非流动资产汇总!D15</f>
        <v>0</v>
      </c>
      <c r="F29" s="142">
        <f>非流动资产汇总!E15</f>
        <v>0</v>
      </c>
      <c r="G29" s="142">
        <f t="shared" si="0"/>
        <v>0</v>
      </c>
      <c r="H29" s="143" t="str">
        <f t="shared" si="1"/>
        <v/>
      </c>
      <c r="I29" s="207">
        <f>资产负债表!D29</f>
        <v>0</v>
      </c>
      <c r="J29" s="223">
        <f t="shared" si="2"/>
        <v>0</v>
      </c>
      <c r="K29" s="215">
        <f>SUMIF(审定数!$A:$A,B29,审定数!$B:$B)</f>
        <v>0</v>
      </c>
      <c r="L29" s="225">
        <f t="shared" si="3"/>
        <v>0</v>
      </c>
    </row>
    <row r="30" spans="1:12" ht="14.25" customHeight="1">
      <c r="A30" s="105">
        <v>25</v>
      </c>
      <c r="B30" s="204" t="s">
        <v>571</v>
      </c>
      <c r="C30" s="142">
        <f>非流动资产汇总!C16</f>
        <v>0</v>
      </c>
      <c r="D30" s="142">
        <f t="shared" si="5"/>
        <v>0</v>
      </c>
      <c r="E30" s="142">
        <f>非流动资产汇总!D16</f>
        <v>0</v>
      </c>
      <c r="F30" s="142">
        <f>非流动资产汇总!E16</f>
        <v>0</v>
      </c>
      <c r="G30" s="142">
        <f t="shared" si="0"/>
        <v>0</v>
      </c>
      <c r="H30" s="143" t="str">
        <f t="shared" si="1"/>
        <v/>
      </c>
      <c r="I30" s="207">
        <f>资产负债表!D30</f>
        <v>0</v>
      </c>
      <c r="J30" s="223">
        <f t="shared" si="2"/>
        <v>0</v>
      </c>
      <c r="K30" s="215">
        <f>SUMIF(审定数!$A:$A,B30,审定数!$B:$B)</f>
        <v>0</v>
      </c>
      <c r="L30" s="225">
        <f t="shared" si="3"/>
        <v>0</v>
      </c>
    </row>
    <row r="31" spans="1:12" ht="14.25" customHeight="1">
      <c r="A31" s="105">
        <v>26</v>
      </c>
      <c r="B31" s="204" t="s">
        <v>707</v>
      </c>
      <c r="C31" s="142">
        <f>非流动资产汇总!C17</f>
        <v>0</v>
      </c>
      <c r="D31" s="142">
        <f t="shared" si="5"/>
        <v>0</v>
      </c>
      <c r="E31" s="142">
        <f>非流动资产汇总!D17</f>
        <v>0</v>
      </c>
      <c r="F31" s="142">
        <f>非流动资产汇总!E17</f>
        <v>0</v>
      </c>
      <c r="G31" s="142">
        <f t="shared" si="0"/>
        <v>0</v>
      </c>
      <c r="H31" s="143" t="str">
        <f t="shared" si="1"/>
        <v/>
      </c>
      <c r="I31" s="207">
        <f>资产负债表!D31</f>
        <v>0</v>
      </c>
      <c r="J31" s="223">
        <f t="shared" si="2"/>
        <v>0</v>
      </c>
      <c r="K31" s="215">
        <f>SUMIF(审定数!$A:$A,B31,审定数!$B:$B)</f>
        <v>0</v>
      </c>
      <c r="L31" s="225">
        <f t="shared" si="3"/>
        <v>0</v>
      </c>
    </row>
    <row r="32" spans="1:12" ht="14.25" customHeight="1">
      <c r="A32" s="105">
        <v>27</v>
      </c>
      <c r="B32" s="204" t="s">
        <v>594</v>
      </c>
      <c r="C32" s="142">
        <f>非流动资产汇总!C18</f>
        <v>0</v>
      </c>
      <c r="D32" s="142">
        <f t="shared" si="5"/>
        <v>0</v>
      </c>
      <c r="E32" s="142">
        <f>非流动资产汇总!D18</f>
        <v>0</v>
      </c>
      <c r="F32" s="142">
        <f>非流动资产汇总!E18</f>
        <v>0</v>
      </c>
      <c r="G32" s="142">
        <f t="shared" si="0"/>
        <v>0</v>
      </c>
      <c r="H32" s="143" t="str">
        <f t="shared" si="1"/>
        <v/>
      </c>
      <c r="I32" s="207">
        <f>资产负债表!D32</f>
        <v>0</v>
      </c>
      <c r="J32" s="223">
        <f t="shared" si="2"/>
        <v>0</v>
      </c>
      <c r="K32" s="215">
        <f>SUMIF(审定数!$A:$A,B32,审定数!$B:$B)</f>
        <v>0</v>
      </c>
      <c r="L32" s="225">
        <f t="shared" si="3"/>
        <v>0</v>
      </c>
    </row>
    <row r="33" spans="1:12" ht="14.25" customHeight="1">
      <c r="A33" s="105">
        <v>28</v>
      </c>
      <c r="B33" s="204" t="s">
        <v>598</v>
      </c>
      <c r="C33" s="142">
        <f>非流动资产汇总!C19</f>
        <v>0</v>
      </c>
      <c r="D33" s="142">
        <f t="shared" si="5"/>
        <v>0</v>
      </c>
      <c r="E33" s="142">
        <f>非流动资产汇总!D19</f>
        <v>0</v>
      </c>
      <c r="F33" s="142">
        <f>非流动资产汇总!E19</f>
        <v>0</v>
      </c>
      <c r="G33" s="142">
        <f t="shared" si="0"/>
        <v>0</v>
      </c>
      <c r="H33" s="143" t="str">
        <f t="shared" si="1"/>
        <v/>
      </c>
      <c r="I33" s="207">
        <f>资产负债表!D33</f>
        <v>0</v>
      </c>
      <c r="J33" s="223">
        <f t="shared" si="2"/>
        <v>0</v>
      </c>
      <c r="K33" s="215">
        <f>SUMIF(审定数!$A:$A,B33,审定数!$B:$B)</f>
        <v>0</v>
      </c>
      <c r="L33" s="225">
        <f t="shared" si="3"/>
        <v>0</v>
      </c>
    </row>
    <row r="34" spans="1:12" ht="14.25" customHeight="1">
      <c r="A34" s="105">
        <v>29</v>
      </c>
      <c r="B34" s="204" t="s">
        <v>502</v>
      </c>
      <c r="C34" s="142">
        <f>非流动资产汇总!C20</f>
        <v>0</v>
      </c>
      <c r="D34" s="142">
        <f t="shared" si="5"/>
        <v>0</v>
      </c>
      <c r="E34" s="142">
        <f>非流动资产汇总!D20</f>
        <v>0</v>
      </c>
      <c r="F34" s="142">
        <f>非流动资产汇总!E20</f>
        <v>0</v>
      </c>
      <c r="G34" s="142">
        <f t="shared" si="0"/>
        <v>0</v>
      </c>
      <c r="H34" s="143" t="str">
        <f t="shared" si="1"/>
        <v/>
      </c>
      <c r="I34" s="207">
        <f>资产负债表!D34</f>
        <v>0</v>
      </c>
      <c r="J34" s="223">
        <f t="shared" si="2"/>
        <v>0</v>
      </c>
      <c r="K34" s="215">
        <f>SUMIF(审定数!$A:$A,B34,审定数!$B:$B)</f>
        <v>0</v>
      </c>
      <c r="L34" s="225">
        <f t="shared" si="3"/>
        <v>0</v>
      </c>
    </row>
    <row r="35" spans="1:12" ht="14.25" customHeight="1">
      <c r="A35" s="105">
        <v>30</v>
      </c>
      <c r="B35" s="204" t="s">
        <v>688</v>
      </c>
      <c r="C35" s="142">
        <f>非流动资产汇总!C21</f>
        <v>0</v>
      </c>
      <c r="D35" s="142">
        <f t="shared" si="5"/>
        <v>0</v>
      </c>
      <c r="E35" s="142">
        <f>非流动资产汇总!D21</f>
        <v>0</v>
      </c>
      <c r="F35" s="142">
        <f>非流动资产汇总!E21</f>
        <v>0</v>
      </c>
      <c r="G35" s="142">
        <f t="shared" si="0"/>
        <v>0</v>
      </c>
      <c r="H35" s="143" t="str">
        <f t="shared" si="1"/>
        <v/>
      </c>
      <c r="I35" s="207">
        <f>资产负债表!D35</f>
        <v>0</v>
      </c>
      <c r="J35" s="223">
        <f t="shared" si="2"/>
        <v>0</v>
      </c>
      <c r="K35" s="215">
        <f>SUMIF(审定数!$A:$A,B35,审定数!$B:$B)</f>
        <v>0</v>
      </c>
      <c r="L35" s="225">
        <f t="shared" si="3"/>
        <v>0</v>
      </c>
    </row>
    <row r="36" spans="1:12" ht="14.25" customHeight="1">
      <c r="A36" s="105">
        <v>31</v>
      </c>
      <c r="B36" s="204" t="s">
        <v>689</v>
      </c>
      <c r="C36" s="142">
        <f>非流动资产汇总!C22</f>
        <v>0</v>
      </c>
      <c r="D36" s="142">
        <f t="shared" si="5"/>
        <v>0</v>
      </c>
      <c r="E36" s="142">
        <f>非流动资产汇总!D22</f>
        <v>0</v>
      </c>
      <c r="F36" s="142">
        <f>非流动资产汇总!E22</f>
        <v>0</v>
      </c>
      <c r="G36" s="142">
        <f t="shared" si="0"/>
        <v>0</v>
      </c>
      <c r="H36" s="143" t="str">
        <f t="shared" si="1"/>
        <v/>
      </c>
      <c r="I36" s="207">
        <f>资产负债表!D36</f>
        <v>0</v>
      </c>
      <c r="J36" s="223">
        <f t="shared" si="2"/>
        <v>0</v>
      </c>
      <c r="K36" s="215">
        <f>SUMIF(审定数!$A:$A,B36,审定数!$B:$B)</f>
        <v>0</v>
      </c>
      <c r="L36" s="225">
        <f t="shared" si="3"/>
        <v>0</v>
      </c>
    </row>
    <row r="37" spans="1:12" ht="14.25" customHeight="1">
      <c r="A37" s="105">
        <v>32</v>
      </c>
      <c r="B37" s="205"/>
      <c r="C37" s="142"/>
      <c r="D37" s="142"/>
      <c r="E37" s="142"/>
      <c r="F37" s="142"/>
      <c r="G37" s="142"/>
      <c r="H37" s="143" t="str">
        <f t="shared" si="1"/>
        <v/>
      </c>
      <c r="I37" s="207"/>
      <c r="J37" s="223">
        <f t="shared" si="2"/>
        <v>0</v>
      </c>
      <c r="K37" s="215">
        <f>SUMIF(审定数!$A:$A,B37,审定数!$B:$B)</f>
        <v>0</v>
      </c>
      <c r="L37" s="225">
        <f t="shared" si="3"/>
        <v>0</v>
      </c>
    </row>
    <row r="38" spans="1:12" s="126" customFormat="1" ht="14.25" customHeight="1">
      <c r="A38" s="219">
        <v>33</v>
      </c>
      <c r="B38" s="220" t="s">
        <v>448</v>
      </c>
      <c r="C38" s="221" t="e">
        <f>SUM(C6,C19)</f>
        <v>#REF!</v>
      </c>
      <c r="D38" s="221" t="e">
        <f>SUM(D6,D19)</f>
        <v>#REF!</v>
      </c>
      <c r="E38" s="221" t="e">
        <f>SUM(E6,E19)</f>
        <v>#REF!</v>
      </c>
      <c r="F38" s="221" t="e">
        <f>SUM(F6,F19)</f>
        <v>#REF!</v>
      </c>
      <c r="G38" s="221" t="e">
        <f>SUM(G6,G19)</f>
        <v>#REF!</v>
      </c>
      <c r="H38" s="222" t="e">
        <f t="shared" si="1"/>
        <v>#REF!</v>
      </c>
      <c r="I38" s="223">
        <f>资产负债表!D38</f>
        <v>0</v>
      </c>
      <c r="J38" s="223" t="e">
        <f t="shared" si="2"/>
        <v>#REF!</v>
      </c>
      <c r="K38" s="224">
        <f>SUMIF(审定数!$A:$A,"资产合计",审定数!$B:$B)+SUMIF(审定数!$A:$A,"资产总计",审定数!$B:$B)</f>
        <v>0</v>
      </c>
      <c r="L38" s="225" t="e">
        <f t="shared" si="3"/>
        <v>#REF!</v>
      </c>
    </row>
    <row r="39" spans="1:12" s="126" customFormat="1" ht="14.25" customHeight="1">
      <c r="A39" s="219">
        <v>35</v>
      </c>
      <c r="B39" s="220" t="s">
        <v>449</v>
      </c>
      <c r="C39" s="221">
        <f>SUM(C40:C51)</f>
        <v>0</v>
      </c>
      <c r="D39" s="221">
        <f>SUM(D40:D51)</f>
        <v>0</v>
      </c>
      <c r="E39" s="221">
        <f>SUM(E40:E51)</f>
        <v>0</v>
      </c>
      <c r="F39" s="221">
        <f>SUM(F40:F51)</f>
        <v>0</v>
      </c>
      <c r="G39" s="221">
        <f>SUM(G40:G51)</f>
        <v>0</v>
      </c>
      <c r="H39" s="222" t="str">
        <f t="shared" si="1"/>
        <v/>
      </c>
      <c r="I39" s="223">
        <f>资产负债表!I19</f>
        <v>0</v>
      </c>
      <c r="J39" s="223">
        <f t="shared" si="2"/>
        <v>0</v>
      </c>
      <c r="K39" s="224">
        <f>SUMIF(审定数!$A:$A,"流动负债合计",审定数!$B:$B)</f>
        <v>0</v>
      </c>
      <c r="L39" s="225">
        <f t="shared" si="3"/>
        <v>0</v>
      </c>
    </row>
    <row r="40" spans="1:12" ht="14.25" customHeight="1">
      <c r="A40" s="105">
        <v>36</v>
      </c>
      <c r="B40" s="204" t="s">
        <v>13</v>
      </c>
      <c r="C40" s="142">
        <f>流动负债汇总!C6</f>
        <v>0</v>
      </c>
      <c r="D40" s="142">
        <f t="shared" ref="D40:D51" si="6">E40-C40</f>
        <v>0</v>
      </c>
      <c r="E40" s="142">
        <f>流动负债汇总!D6</f>
        <v>0</v>
      </c>
      <c r="F40" s="142">
        <f>流动负债汇总!E6</f>
        <v>0</v>
      </c>
      <c r="G40" s="142">
        <f t="shared" si="0"/>
        <v>0</v>
      </c>
      <c r="H40" s="143" t="str">
        <f t="shared" si="1"/>
        <v/>
      </c>
      <c r="I40" s="207">
        <f>资产负债表!I7</f>
        <v>0</v>
      </c>
      <c r="J40" s="223">
        <f t="shared" si="2"/>
        <v>0</v>
      </c>
      <c r="K40" s="215">
        <f>SUMIF(审定数!$A:$A,B40,审定数!$B:$B)</f>
        <v>0</v>
      </c>
      <c r="L40" s="225">
        <f t="shared" si="3"/>
        <v>0</v>
      </c>
    </row>
    <row r="41" spans="1:12" ht="14.25" customHeight="1">
      <c r="A41" s="105">
        <v>37</v>
      </c>
      <c r="B41" s="204" t="s">
        <v>615</v>
      </c>
      <c r="C41" s="142">
        <f>流动负债汇总!C7</f>
        <v>0</v>
      </c>
      <c r="D41" s="142">
        <f t="shared" si="6"/>
        <v>0</v>
      </c>
      <c r="E41" s="142">
        <f>流动负债汇总!D7</f>
        <v>0</v>
      </c>
      <c r="F41" s="142">
        <f>流动负债汇总!E7</f>
        <v>0</v>
      </c>
      <c r="G41" s="142">
        <f t="shared" si="0"/>
        <v>0</v>
      </c>
      <c r="H41" s="143" t="str">
        <f t="shared" si="1"/>
        <v/>
      </c>
      <c r="I41" s="207">
        <f>资产负债表!I8</f>
        <v>0</v>
      </c>
      <c r="J41" s="223">
        <f t="shared" si="2"/>
        <v>0</v>
      </c>
      <c r="K41" s="215">
        <f>SUMIF(审定数!$A:$A,B41,审定数!$B:$B)</f>
        <v>0</v>
      </c>
      <c r="L41" s="225">
        <f t="shared" si="3"/>
        <v>0</v>
      </c>
    </row>
    <row r="42" spans="1:12" ht="14.25" customHeight="1">
      <c r="A42" s="105">
        <v>38</v>
      </c>
      <c r="B42" s="204" t="s">
        <v>14</v>
      </c>
      <c r="C42" s="142">
        <f>流动负债汇总!C8</f>
        <v>0</v>
      </c>
      <c r="D42" s="142">
        <f t="shared" si="6"/>
        <v>0</v>
      </c>
      <c r="E42" s="142">
        <f>流动负债汇总!D8</f>
        <v>0</v>
      </c>
      <c r="F42" s="142">
        <f>流动负债汇总!E8</f>
        <v>0</v>
      </c>
      <c r="G42" s="142">
        <f t="shared" si="0"/>
        <v>0</v>
      </c>
      <c r="H42" s="143" t="str">
        <f t="shared" si="1"/>
        <v/>
      </c>
      <c r="I42" s="207">
        <f>资产负债表!I9</f>
        <v>0</v>
      </c>
      <c r="J42" s="223">
        <f t="shared" si="2"/>
        <v>0</v>
      </c>
      <c r="K42" s="215">
        <f>SUMIF(审定数!$A:$A,B42,审定数!$B:$B)</f>
        <v>0</v>
      </c>
      <c r="L42" s="225">
        <f t="shared" si="3"/>
        <v>0</v>
      </c>
    </row>
    <row r="43" spans="1:12" ht="14.25" customHeight="1">
      <c r="A43" s="105">
        <v>39</v>
      </c>
      <c r="B43" s="204" t="s">
        <v>690</v>
      </c>
      <c r="C43" s="142">
        <f>流动负债汇总!C9</f>
        <v>0</v>
      </c>
      <c r="D43" s="142">
        <f t="shared" si="6"/>
        <v>0</v>
      </c>
      <c r="E43" s="142">
        <f>流动负债汇总!D9</f>
        <v>0</v>
      </c>
      <c r="F43" s="142">
        <f>流动负债汇总!E9</f>
        <v>0</v>
      </c>
      <c r="G43" s="142">
        <f t="shared" si="0"/>
        <v>0</v>
      </c>
      <c r="H43" s="143" t="str">
        <f t="shared" si="1"/>
        <v/>
      </c>
      <c r="I43" s="207">
        <f>资产负债表!I10</f>
        <v>0</v>
      </c>
      <c r="J43" s="223">
        <f t="shared" si="2"/>
        <v>0</v>
      </c>
      <c r="K43" s="215">
        <f>SUMIF(审定数!$A:$A,B43,审定数!$B:$B)</f>
        <v>0</v>
      </c>
      <c r="L43" s="225">
        <f t="shared" si="3"/>
        <v>0</v>
      </c>
    </row>
    <row r="44" spans="1:12" ht="14.25" customHeight="1">
      <c r="A44" s="105">
        <v>40</v>
      </c>
      <c r="B44" s="204" t="s">
        <v>691</v>
      </c>
      <c r="C44" s="142">
        <f>流动负债汇总!C10</f>
        <v>0</v>
      </c>
      <c r="D44" s="142">
        <f t="shared" si="6"/>
        <v>0</v>
      </c>
      <c r="E44" s="142">
        <f>流动负债汇总!D10</f>
        <v>0</v>
      </c>
      <c r="F44" s="142">
        <f>流动负债汇总!E10</f>
        <v>0</v>
      </c>
      <c r="G44" s="142">
        <f t="shared" si="0"/>
        <v>0</v>
      </c>
      <c r="H44" s="143" t="str">
        <f t="shared" si="1"/>
        <v/>
      </c>
      <c r="I44" s="207">
        <f>资产负债表!I11</f>
        <v>0</v>
      </c>
      <c r="J44" s="223">
        <f t="shared" si="2"/>
        <v>0</v>
      </c>
      <c r="K44" s="215">
        <f>SUMIF(审定数!$A:$A,B44,审定数!$B:$B)</f>
        <v>0</v>
      </c>
      <c r="L44" s="225">
        <f t="shared" si="3"/>
        <v>0</v>
      </c>
    </row>
    <row r="45" spans="1:12" ht="14.25" customHeight="1">
      <c r="A45" s="105">
        <v>41</v>
      </c>
      <c r="B45" s="204" t="s">
        <v>617</v>
      </c>
      <c r="C45" s="142">
        <f>流动负债汇总!C11</f>
        <v>0</v>
      </c>
      <c r="D45" s="142">
        <f t="shared" si="6"/>
        <v>0</v>
      </c>
      <c r="E45" s="142">
        <f>流动负债汇总!D11</f>
        <v>0</v>
      </c>
      <c r="F45" s="142">
        <f>流动负债汇总!E11</f>
        <v>0</v>
      </c>
      <c r="G45" s="142">
        <f t="shared" si="0"/>
        <v>0</v>
      </c>
      <c r="H45" s="143" t="str">
        <f t="shared" si="1"/>
        <v/>
      </c>
      <c r="I45" s="207">
        <f>资产负债表!I12</f>
        <v>0</v>
      </c>
      <c r="J45" s="223">
        <f t="shared" si="2"/>
        <v>0</v>
      </c>
      <c r="K45" s="215">
        <f>SUMIF(审定数!$A:$A,B45,审定数!$B:$B)</f>
        <v>0</v>
      </c>
      <c r="L45" s="225">
        <f t="shared" si="3"/>
        <v>0</v>
      </c>
    </row>
    <row r="46" spans="1:12" ht="14.25" customHeight="1">
      <c r="A46" s="105">
        <v>42</v>
      </c>
      <c r="B46" s="204" t="s">
        <v>453</v>
      </c>
      <c r="C46" s="142">
        <f>流动负债汇总!C12</f>
        <v>0</v>
      </c>
      <c r="D46" s="142">
        <f t="shared" si="6"/>
        <v>0</v>
      </c>
      <c r="E46" s="142">
        <f>流动负债汇总!D12</f>
        <v>0</v>
      </c>
      <c r="F46" s="142">
        <f>流动负债汇总!E12</f>
        <v>0</v>
      </c>
      <c r="G46" s="142">
        <f t="shared" si="0"/>
        <v>0</v>
      </c>
      <c r="H46" s="143" t="str">
        <f t="shared" si="1"/>
        <v/>
      </c>
      <c r="I46" s="207">
        <f>资产负债表!I13</f>
        <v>0</v>
      </c>
      <c r="J46" s="223">
        <f t="shared" si="2"/>
        <v>0</v>
      </c>
      <c r="K46" s="215">
        <f>SUMIF(审定数!$A:$A,B46,审定数!$B:$B)</f>
        <v>0</v>
      </c>
      <c r="L46" s="225">
        <f t="shared" si="3"/>
        <v>0</v>
      </c>
    </row>
    <row r="47" spans="1:12" ht="14.25" customHeight="1">
      <c r="A47" s="105">
        <v>43</v>
      </c>
      <c r="B47" s="204" t="s">
        <v>503</v>
      </c>
      <c r="C47" s="142">
        <f>流动负债汇总!C13</f>
        <v>0</v>
      </c>
      <c r="D47" s="142">
        <f t="shared" si="6"/>
        <v>0</v>
      </c>
      <c r="E47" s="142">
        <f>流动负债汇总!D13</f>
        <v>0</v>
      </c>
      <c r="F47" s="142">
        <f>流动负债汇总!E13</f>
        <v>0</v>
      </c>
      <c r="G47" s="142">
        <f t="shared" si="0"/>
        <v>0</v>
      </c>
      <c r="H47" s="143" t="str">
        <f t="shared" si="1"/>
        <v/>
      </c>
      <c r="I47" s="207">
        <f>资产负债表!I14</f>
        <v>0</v>
      </c>
      <c r="J47" s="223">
        <f t="shared" si="2"/>
        <v>0</v>
      </c>
      <c r="K47" s="215">
        <f>SUMIF(审定数!$A:$A,B47,审定数!$B:$B)</f>
        <v>0</v>
      </c>
      <c r="L47" s="225">
        <f t="shared" si="3"/>
        <v>0</v>
      </c>
    </row>
    <row r="48" spans="1:12" ht="14.25" customHeight="1">
      <c r="A48" s="105">
        <v>44</v>
      </c>
      <c r="B48" s="204" t="s">
        <v>454</v>
      </c>
      <c r="C48" s="142">
        <f>流动负债汇总!C14</f>
        <v>0</v>
      </c>
      <c r="D48" s="142">
        <f t="shared" si="6"/>
        <v>0</v>
      </c>
      <c r="E48" s="142">
        <f>流动负债汇总!D14</f>
        <v>0</v>
      </c>
      <c r="F48" s="142">
        <f>流动负债汇总!E14</f>
        <v>0</v>
      </c>
      <c r="G48" s="142">
        <f t="shared" si="0"/>
        <v>0</v>
      </c>
      <c r="H48" s="143" t="str">
        <f t="shared" si="1"/>
        <v/>
      </c>
      <c r="I48" s="207">
        <f>资产负债表!I15</f>
        <v>0</v>
      </c>
      <c r="J48" s="223">
        <f t="shared" si="2"/>
        <v>0</v>
      </c>
      <c r="K48" s="215">
        <f>SUMIF(审定数!$A:$A,B48,审定数!$B:$B)</f>
        <v>0</v>
      </c>
      <c r="L48" s="225">
        <f t="shared" si="3"/>
        <v>0</v>
      </c>
    </row>
    <row r="49" spans="1:12" ht="14.25" customHeight="1">
      <c r="A49" s="105">
        <v>45</v>
      </c>
      <c r="B49" s="204" t="s">
        <v>15</v>
      </c>
      <c r="C49" s="142">
        <f>流动负债汇总!C15</f>
        <v>0</v>
      </c>
      <c r="D49" s="142">
        <f t="shared" si="6"/>
        <v>0</v>
      </c>
      <c r="E49" s="142">
        <f>流动负债汇总!D15</f>
        <v>0</v>
      </c>
      <c r="F49" s="142">
        <f>流动负债汇总!E15</f>
        <v>0</v>
      </c>
      <c r="G49" s="142">
        <f t="shared" si="0"/>
        <v>0</v>
      </c>
      <c r="H49" s="143" t="str">
        <f t="shared" si="1"/>
        <v/>
      </c>
      <c r="I49" s="207">
        <f>资产负债表!I16</f>
        <v>0</v>
      </c>
      <c r="J49" s="223">
        <f t="shared" si="2"/>
        <v>0</v>
      </c>
      <c r="K49" s="215">
        <f>SUMIF(审定数!$A:$A,B49,审定数!$B:$B)</f>
        <v>0</v>
      </c>
      <c r="L49" s="225">
        <f t="shared" si="3"/>
        <v>0</v>
      </c>
    </row>
    <row r="50" spans="1:12" ht="14.25" customHeight="1">
      <c r="A50" s="105">
        <v>46</v>
      </c>
      <c r="B50" s="204" t="s">
        <v>455</v>
      </c>
      <c r="C50" s="142">
        <f>流动负债汇总!C16</f>
        <v>0</v>
      </c>
      <c r="D50" s="142">
        <f t="shared" si="6"/>
        <v>0</v>
      </c>
      <c r="E50" s="142">
        <f>流动负债汇总!D16</f>
        <v>0</v>
      </c>
      <c r="F50" s="142">
        <f>流动负债汇总!E16</f>
        <v>0</v>
      </c>
      <c r="G50" s="142">
        <f t="shared" si="0"/>
        <v>0</v>
      </c>
      <c r="H50" s="143" t="str">
        <f t="shared" si="1"/>
        <v/>
      </c>
      <c r="I50" s="207">
        <f>资产负债表!I17</f>
        <v>0</v>
      </c>
      <c r="J50" s="223">
        <f t="shared" si="2"/>
        <v>0</v>
      </c>
      <c r="K50" s="215">
        <f>SUMIF(审定数!$A:$A,B50,审定数!$B:$B)</f>
        <v>0</v>
      </c>
      <c r="L50" s="225">
        <f t="shared" si="3"/>
        <v>0</v>
      </c>
    </row>
    <row r="51" spans="1:12" ht="14.25" customHeight="1">
      <c r="A51" s="105">
        <v>47</v>
      </c>
      <c r="B51" s="204" t="s">
        <v>224</v>
      </c>
      <c r="C51" s="142">
        <f>流动负债汇总!C17</f>
        <v>0</v>
      </c>
      <c r="D51" s="142">
        <f t="shared" si="6"/>
        <v>0</v>
      </c>
      <c r="E51" s="142">
        <f>流动负债汇总!D17</f>
        <v>0</v>
      </c>
      <c r="F51" s="142">
        <f>流动负债汇总!E17</f>
        <v>0</v>
      </c>
      <c r="G51" s="142">
        <f t="shared" si="0"/>
        <v>0</v>
      </c>
      <c r="H51" s="143" t="str">
        <f t="shared" si="1"/>
        <v/>
      </c>
      <c r="I51" s="207">
        <f>资产负债表!I18</f>
        <v>0</v>
      </c>
      <c r="J51" s="223">
        <f t="shared" si="2"/>
        <v>0</v>
      </c>
      <c r="K51" s="215">
        <f>SUMIF(审定数!$A:$A,B51,审定数!$B:$B)</f>
        <v>0</v>
      </c>
      <c r="L51" s="225">
        <f t="shared" si="3"/>
        <v>0</v>
      </c>
    </row>
    <row r="52" spans="1:12" ht="14.25" customHeight="1">
      <c r="A52" s="105">
        <v>48</v>
      </c>
      <c r="B52" s="119"/>
      <c r="C52" s="142"/>
      <c r="D52" s="142"/>
      <c r="E52" s="142"/>
      <c r="F52" s="142"/>
      <c r="G52" s="142"/>
      <c r="H52" s="143" t="str">
        <f t="shared" si="1"/>
        <v/>
      </c>
      <c r="I52" s="207"/>
      <c r="J52" s="223">
        <f t="shared" si="2"/>
        <v>0</v>
      </c>
      <c r="K52" s="215">
        <f>SUMIF(审定数!$A:$A,B52,审定数!$B:$B)</f>
        <v>0</v>
      </c>
      <c r="L52" s="225">
        <f t="shared" si="3"/>
        <v>0</v>
      </c>
    </row>
    <row r="53" spans="1:12" s="126" customFormat="1" ht="14.25" customHeight="1">
      <c r="A53" s="219">
        <v>49</v>
      </c>
      <c r="B53" s="220" t="s">
        <v>460</v>
      </c>
      <c r="C53" s="221">
        <f>SUM(C54:C60)</f>
        <v>0</v>
      </c>
      <c r="D53" s="221">
        <f>SUM(D54:D60)</f>
        <v>0</v>
      </c>
      <c r="E53" s="221">
        <f>SUM(E54:E60)</f>
        <v>0</v>
      </c>
      <c r="F53" s="221">
        <f>SUM(F54:F60)</f>
        <v>0</v>
      </c>
      <c r="G53" s="221">
        <f>SUM(G54:G60)</f>
        <v>0</v>
      </c>
      <c r="H53" s="222" t="str">
        <f t="shared" si="1"/>
        <v/>
      </c>
      <c r="I53" s="223">
        <f>资产负债表!I28</f>
        <v>0</v>
      </c>
      <c r="J53" s="223">
        <f t="shared" si="2"/>
        <v>0</v>
      </c>
      <c r="K53" s="224">
        <f>SUMIF(审定数!$A:$A,"非流动负债合计",审定数!$B:$B)</f>
        <v>0</v>
      </c>
      <c r="L53" s="225">
        <f t="shared" si="3"/>
        <v>0</v>
      </c>
    </row>
    <row r="54" spans="1:12" ht="14.25" customHeight="1">
      <c r="A54" s="105">
        <v>50</v>
      </c>
      <c r="B54" s="204" t="s">
        <v>16</v>
      </c>
      <c r="C54" s="142">
        <f>'非流动负债汇总 '!C6</f>
        <v>0</v>
      </c>
      <c r="D54" s="142">
        <f t="shared" ref="D54:D60" si="7">E54-C54</f>
        <v>0</v>
      </c>
      <c r="E54" s="142">
        <f>'非流动负债汇总 '!D6</f>
        <v>0</v>
      </c>
      <c r="F54" s="142">
        <f>'非流动负债汇总 '!E6</f>
        <v>0</v>
      </c>
      <c r="G54" s="142">
        <f t="shared" si="0"/>
        <v>0</v>
      </c>
      <c r="H54" s="143" t="str">
        <f t="shared" si="1"/>
        <v/>
      </c>
      <c r="I54" s="207">
        <f>资产负债表!I21</f>
        <v>0</v>
      </c>
      <c r="J54" s="223">
        <f t="shared" si="2"/>
        <v>0</v>
      </c>
      <c r="K54" s="215">
        <f>SUMIF(审定数!$A:$A,B54,审定数!$B:$B)</f>
        <v>0</v>
      </c>
      <c r="L54" s="225">
        <f t="shared" si="3"/>
        <v>0</v>
      </c>
    </row>
    <row r="55" spans="1:12" ht="14.25" customHeight="1">
      <c r="A55" s="105">
        <v>51</v>
      </c>
      <c r="B55" s="204" t="s">
        <v>17</v>
      </c>
      <c r="C55" s="142">
        <f>'非流动负债汇总 '!C7</f>
        <v>0</v>
      </c>
      <c r="D55" s="142">
        <f t="shared" si="7"/>
        <v>0</v>
      </c>
      <c r="E55" s="142">
        <f>'非流动负债汇总 '!D7</f>
        <v>0</v>
      </c>
      <c r="F55" s="142">
        <f>'非流动负债汇总 '!E7</f>
        <v>0</v>
      </c>
      <c r="G55" s="142">
        <f t="shared" si="0"/>
        <v>0</v>
      </c>
      <c r="H55" s="143" t="str">
        <f t="shared" si="1"/>
        <v/>
      </c>
      <c r="I55" s="207">
        <f>资产负债表!I22</f>
        <v>0</v>
      </c>
      <c r="J55" s="223">
        <f t="shared" si="2"/>
        <v>0</v>
      </c>
      <c r="K55" s="215">
        <f>SUMIF(审定数!$A:$A,B55,审定数!$B:$B)</f>
        <v>0</v>
      </c>
      <c r="L55" s="225">
        <f t="shared" si="3"/>
        <v>0</v>
      </c>
    </row>
    <row r="56" spans="1:12" ht="14.25" customHeight="1">
      <c r="A56" s="105">
        <v>52</v>
      </c>
      <c r="B56" s="204" t="s">
        <v>18</v>
      </c>
      <c r="C56" s="142">
        <f>'非流动负债汇总 '!C8</f>
        <v>0</v>
      </c>
      <c r="D56" s="142">
        <f t="shared" si="7"/>
        <v>0</v>
      </c>
      <c r="E56" s="142">
        <f>'非流动负债汇总 '!D8</f>
        <v>0</v>
      </c>
      <c r="F56" s="142">
        <f>'非流动负债汇总 '!E8</f>
        <v>0</v>
      </c>
      <c r="G56" s="142">
        <f t="shared" si="0"/>
        <v>0</v>
      </c>
      <c r="H56" s="143" t="str">
        <f t="shared" si="1"/>
        <v/>
      </c>
      <c r="I56" s="207">
        <f>资产负债表!I23</f>
        <v>0</v>
      </c>
      <c r="J56" s="223">
        <f t="shared" si="2"/>
        <v>0</v>
      </c>
      <c r="K56" s="215">
        <f>SUMIF(审定数!$A:$A,B56,审定数!$B:$B)</f>
        <v>0</v>
      </c>
      <c r="L56" s="225">
        <f t="shared" si="3"/>
        <v>0</v>
      </c>
    </row>
    <row r="57" spans="1:12" ht="14.25" customHeight="1">
      <c r="A57" s="105">
        <v>53</v>
      </c>
      <c r="B57" s="204" t="s">
        <v>411</v>
      </c>
      <c r="C57" s="142">
        <f>'非流动负债汇总 '!C9</f>
        <v>0</v>
      </c>
      <c r="D57" s="142">
        <f t="shared" si="7"/>
        <v>0</v>
      </c>
      <c r="E57" s="142">
        <f>'非流动负债汇总 '!D9</f>
        <v>0</v>
      </c>
      <c r="F57" s="142">
        <f>'非流动负债汇总 '!E9</f>
        <v>0</v>
      </c>
      <c r="G57" s="142">
        <f t="shared" si="0"/>
        <v>0</v>
      </c>
      <c r="H57" s="143" t="str">
        <f t="shared" si="1"/>
        <v/>
      </c>
      <c r="I57" s="207">
        <f>资产负债表!I24</f>
        <v>0</v>
      </c>
      <c r="J57" s="223">
        <f t="shared" si="2"/>
        <v>0</v>
      </c>
      <c r="K57" s="215">
        <f>SUMIF(审定数!$A:$A,B57,审定数!$B:$B)</f>
        <v>0</v>
      </c>
      <c r="L57" s="225">
        <f t="shared" si="3"/>
        <v>0</v>
      </c>
    </row>
    <row r="58" spans="1:12" ht="14.25" customHeight="1">
      <c r="A58" s="105">
        <v>54</v>
      </c>
      <c r="B58" s="204" t="s">
        <v>504</v>
      </c>
      <c r="C58" s="142">
        <f>'非流动负债汇总 '!C10</f>
        <v>0</v>
      </c>
      <c r="D58" s="142">
        <f t="shared" si="7"/>
        <v>0</v>
      </c>
      <c r="E58" s="142">
        <f>'非流动负债汇总 '!D10</f>
        <v>0</v>
      </c>
      <c r="F58" s="142">
        <f>'非流动负债汇总 '!E10</f>
        <v>0</v>
      </c>
      <c r="G58" s="142">
        <f t="shared" si="0"/>
        <v>0</v>
      </c>
      <c r="H58" s="143" t="str">
        <f t="shared" si="1"/>
        <v/>
      </c>
      <c r="I58" s="207">
        <f>资产负债表!I25</f>
        <v>0</v>
      </c>
      <c r="J58" s="223">
        <f t="shared" si="2"/>
        <v>0</v>
      </c>
      <c r="K58" s="215">
        <f>SUMIF(审定数!$A:$A,B58,审定数!$B:$B)</f>
        <v>0</v>
      </c>
      <c r="L58" s="225">
        <f t="shared" si="3"/>
        <v>0</v>
      </c>
    </row>
    <row r="59" spans="1:12" ht="14.25" customHeight="1">
      <c r="A59" s="105">
        <v>55</v>
      </c>
      <c r="B59" s="204" t="s">
        <v>456</v>
      </c>
      <c r="C59" s="142">
        <f>'非流动负债汇总 '!C11</f>
        <v>0</v>
      </c>
      <c r="D59" s="142">
        <f t="shared" si="7"/>
        <v>0</v>
      </c>
      <c r="E59" s="142">
        <f>'非流动负债汇总 '!D11</f>
        <v>0</v>
      </c>
      <c r="F59" s="142">
        <f>'非流动负债汇总 '!E11</f>
        <v>0</v>
      </c>
      <c r="G59" s="142">
        <f t="shared" si="0"/>
        <v>0</v>
      </c>
      <c r="H59" s="143" t="str">
        <f t="shared" si="1"/>
        <v/>
      </c>
      <c r="I59" s="207">
        <f>资产负债表!I26</f>
        <v>0</v>
      </c>
      <c r="J59" s="223">
        <f t="shared" si="2"/>
        <v>0</v>
      </c>
      <c r="K59" s="215">
        <f>SUMIF(审定数!$A:$A,B59,审定数!$B:$B)</f>
        <v>0</v>
      </c>
      <c r="L59" s="225">
        <f t="shared" si="3"/>
        <v>0</v>
      </c>
    </row>
    <row r="60" spans="1:12" ht="14.25" customHeight="1">
      <c r="A60" s="105">
        <v>56</v>
      </c>
      <c r="B60" s="204" t="s">
        <v>457</v>
      </c>
      <c r="C60" s="142">
        <f>'非流动负债汇总 '!C12</f>
        <v>0</v>
      </c>
      <c r="D60" s="142">
        <f t="shared" si="7"/>
        <v>0</v>
      </c>
      <c r="E60" s="142">
        <f>'非流动负债汇总 '!D12</f>
        <v>0</v>
      </c>
      <c r="F60" s="142">
        <f>'非流动负债汇总 '!E12</f>
        <v>0</v>
      </c>
      <c r="G60" s="142">
        <f t="shared" si="0"/>
        <v>0</v>
      </c>
      <c r="H60" s="143" t="str">
        <f t="shared" si="1"/>
        <v/>
      </c>
      <c r="I60" s="207">
        <f>资产负债表!I27</f>
        <v>0</v>
      </c>
      <c r="J60" s="223">
        <f t="shared" si="2"/>
        <v>0</v>
      </c>
      <c r="K60" s="215">
        <f>SUMIF(审定数!$A:$A,B60,审定数!$B:$B)</f>
        <v>0</v>
      </c>
      <c r="L60" s="225">
        <f t="shared" si="3"/>
        <v>0</v>
      </c>
    </row>
    <row r="61" spans="1:12" ht="14.25" customHeight="1">
      <c r="A61" s="105">
        <v>57</v>
      </c>
      <c r="B61" s="119"/>
      <c r="C61" s="142"/>
      <c r="D61" s="142"/>
      <c r="E61" s="142"/>
      <c r="F61" s="142"/>
      <c r="G61" s="142"/>
      <c r="H61" s="143" t="str">
        <f t="shared" si="1"/>
        <v/>
      </c>
      <c r="I61" s="207"/>
      <c r="J61" s="223">
        <f t="shared" si="2"/>
        <v>0</v>
      </c>
      <c r="K61" s="215">
        <f>SUMIF(审定数!$A:$A,B61,审定数!$B:$B)</f>
        <v>0</v>
      </c>
      <c r="L61" s="225">
        <f t="shared" si="3"/>
        <v>0</v>
      </c>
    </row>
    <row r="62" spans="1:12" s="126" customFormat="1" ht="14.25" customHeight="1">
      <c r="A62" s="219">
        <v>58</v>
      </c>
      <c r="B62" s="220" t="s">
        <v>458</v>
      </c>
      <c r="C62" s="221">
        <f>SUM(C39,C53)</f>
        <v>0</v>
      </c>
      <c r="D62" s="221">
        <f>SUM(D39,D53)</f>
        <v>0</v>
      </c>
      <c r="E62" s="221">
        <f>SUM(E39,E53)</f>
        <v>0</v>
      </c>
      <c r="F62" s="221">
        <f>SUM(F39,F53)</f>
        <v>0</v>
      </c>
      <c r="G62" s="221">
        <f>SUM(G39,G53)</f>
        <v>0</v>
      </c>
      <c r="H62" s="222" t="str">
        <f t="shared" si="1"/>
        <v/>
      </c>
      <c r="I62" s="223">
        <f>资产负债表!I29</f>
        <v>0</v>
      </c>
      <c r="J62" s="223">
        <f t="shared" si="2"/>
        <v>0</v>
      </c>
      <c r="K62" s="224">
        <f>SUMIF(审定数!$A:$A,"负债合计",审定数!$B:$B)+SUMIF(审定数!$A:$A,"负债总计",审定数!$B:$B)</f>
        <v>0</v>
      </c>
      <c r="L62" s="225">
        <f t="shared" si="3"/>
        <v>0</v>
      </c>
    </row>
    <row r="63" spans="1:12" ht="14.25" customHeight="1">
      <c r="A63" s="105">
        <v>59</v>
      </c>
      <c r="B63" s="119"/>
      <c r="C63" s="142"/>
      <c r="D63" s="142"/>
      <c r="E63" s="142"/>
      <c r="F63" s="142"/>
      <c r="G63" s="142"/>
      <c r="H63" s="143" t="str">
        <f t="shared" si="1"/>
        <v/>
      </c>
      <c r="I63" s="207"/>
      <c r="J63" s="223">
        <f t="shared" si="2"/>
        <v>0</v>
      </c>
      <c r="K63" s="215">
        <f>SUMIF(审定数!$A:$A,B63,审定数!$B:$B)</f>
        <v>0</v>
      </c>
      <c r="L63" s="225">
        <f t="shared" si="3"/>
        <v>0</v>
      </c>
    </row>
    <row r="64" spans="1:12" s="126" customFormat="1" ht="14.25" customHeight="1">
      <c r="A64" s="219">
        <v>60</v>
      </c>
      <c r="B64" s="220" t="s">
        <v>709</v>
      </c>
      <c r="C64" s="221" t="e">
        <f>C38-C62</f>
        <v>#REF!</v>
      </c>
      <c r="D64" s="221" t="e">
        <f>D38-D62</f>
        <v>#REF!</v>
      </c>
      <c r="E64" s="221" t="e">
        <f>E38-E62</f>
        <v>#REF!</v>
      </c>
      <c r="F64" s="221" t="e">
        <f>F38-F62</f>
        <v>#REF!</v>
      </c>
      <c r="G64" s="221" t="e">
        <f>G38-G62</f>
        <v>#REF!</v>
      </c>
      <c r="H64" s="222" t="e">
        <f t="shared" si="1"/>
        <v>#REF!</v>
      </c>
      <c r="I64" s="223">
        <f>资产负债表!I36</f>
        <v>0</v>
      </c>
      <c r="J64" s="223" t="e">
        <f t="shared" si="2"/>
        <v>#REF!</v>
      </c>
      <c r="K64" s="224">
        <f>SUMIF(审定数!$A:$A,"净资产",审定数!$B:$B)</f>
        <v>0</v>
      </c>
      <c r="L64" s="225" t="e">
        <f t="shared" si="3"/>
        <v>#REF!</v>
      </c>
    </row>
    <row r="65" spans="1:12" s="217" customFormat="1" ht="27.75" customHeight="1">
      <c r="A65" s="216"/>
      <c r="F65" s="145" t="s">
        <v>1024</v>
      </c>
      <c r="H65" s="218"/>
    </row>
    <row r="67" spans="1:12" ht="15.75" customHeight="1">
      <c r="B67" s="209" t="s">
        <v>505</v>
      </c>
      <c r="E67" s="210" t="e">
        <f>SUM(E15,E24,E25,E26,E27,E29,E30,-#REF!)/10000</f>
        <v>#REF!</v>
      </c>
    </row>
    <row r="68" spans="1:12" ht="15.75" customHeight="1">
      <c r="B68" s="209" t="s">
        <v>416</v>
      </c>
      <c r="E68" s="211" t="e">
        <f>E67*10000/E38*100</f>
        <v>#REF!</v>
      </c>
    </row>
    <row r="71" spans="1:12" ht="15.75" customHeight="1">
      <c r="A71" s="227" t="s">
        <v>471</v>
      </c>
    </row>
    <row r="72" spans="1:12" s="116" customFormat="1" ht="14.25" customHeight="1">
      <c r="A72" s="102" t="s">
        <v>4</v>
      </c>
      <c r="B72" s="107" t="s">
        <v>2</v>
      </c>
      <c r="C72" s="102" t="s">
        <v>427</v>
      </c>
      <c r="D72" s="102" t="s">
        <v>346</v>
      </c>
      <c r="E72" s="102" t="s">
        <v>706</v>
      </c>
      <c r="F72" s="102" t="s">
        <v>0</v>
      </c>
      <c r="G72" s="102" t="s">
        <v>19</v>
      </c>
      <c r="H72" s="103" t="s">
        <v>20</v>
      </c>
      <c r="I72" s="206" t="s">
        <v>422</v>
      </c>
      <c r="J72" s="206" t="s">
        <v>459</v>
      </c>
      <c r="K72" s="213" t="s">
        <v>421</v>
      </c>
      <c r="L72" s="213" t="s">
        <v>420</v>
      </c>
    </row>
    <row r="73" spans="1:12" ht="14.25" customHeight="1">
      <c r="A73" s="102" t="s">
        <v>473</v>
      </c>
      <c r="B73" s="109" t="s">
        <v>472</v>
      </c>
      <c r="C73" s="142">
        <f t="shared" ref="C73:L73" si="8">SUM(C74:C76)</f>
        <v>0</v>
      </c>
      <c r="D73" s="142">
        <f t="shared" si="8"/>
        <v>0</v>
      </c>
      <c r="E73" s="142">
        <f t="shared" si="8"/>
        <v>0</v>
      </c>
      <c r="F73" s="142">
        <f t="shared" si="8"/>
        <v>0</v>
      </c>
      <c r="G73" s="142">
        <f t="shared" si="8"/>
        <v>0</v>
      </c>
      <c r="H73" s="143" t="str">
        <f t="shared" ref="H73:H91" si="9">IF(E73=0,"",G73/E73*100)</f>
        <v/>
      </c>
      <c r="I73" s="207">
        <f t="shared" si="8"/>
        <v>0</v>
      </c>
      <c r="J73" s="207">
        <f t="shared" si="8"/>
        <v>0</v>
      </c>
      <c r="K73" s="215">
        <f t="shared" si="8"/>
        <v>0</v>
      </c>
      <c r="L73" s="214">
        <f t="shared" si="8"/>
        <v>0</v>
      </c>
    </row>
    <row r="74" spans="1:12" ht="14.25" customHeight="1">
      <c r="A74" s="105">
        <v>1</v>
      </c>
      <c r="B74" s="205" t="s">
        <v>521</v>
      </c>
      <c r="C74" s="142">
        <f>应收账款!F25</f>
        <v>0</v>
      </c>
      <c r="D74" s="142">
        <f t="shared" ref="D74:D90" si="10">E74-C74</f>
        <v>0</v>
      </c>
      <c r="E74" s="142">
        <f>应收账款!P25</f>
        <v>0</v>
      </c>
      <c r="F74" s="142">
        <f>应收账款!Q25</f>
        <v>0</v>
      </c>
      <c r="G74" s="142">
        <f t="shared" ref="G74:G90" si="11">F74-E74</f>
        <v>0</v>
      </c>
      <c r="H74" s="143" t="str">
        <f>IF(E74=0,"",G74/E74*100)</f>
        <v/>
      </c>
      <c r="I74" s="207"/>
      <c r="J74" s="207">
        <f>ROUND(C74-I74,2)</f>
        <v>0</v>
      </c>
      <c r="K74" s="215"/>
      <c r="L74" s="214">
        <f t="shared" ref="L74:L90" si="12">ROUND(C74-K74,2)</f>
        <v>0</v>
      </c>
    </row>
    <row r="75" spans="1:12" ht="14.25" customHeight="1">
      <c r="A75" s="105">
        <v>2</v>
      </c>
      <c r="B75" s="275" t="s">
        <v>96</v>
      </c>
      <c r="C75" s="142">
        <f>其他应收款!F25</f>
        <v>0</v>
      </c>
      <c r="D75" s="142">
        <f t="shared" si="10"/>
        <v>0</v>
      </c>
      <c r="E75" s="142">
        <f>其他应收款!P25</f>
        <v>0</v>
      </c>
      <c r="F75" s="142">
        <f>其他应收款!Q25</f>
        <v>0</v>
      </c>
      <c r="G75" s="142">
        <f t="shared" si="11"/>
        <v>0</v>
      </c>
      <c r="H75" s="143" t="str">
        <f t="shared" si="9"/>
        <v/>
      </c>
      <c r="I75" s="207"/>
      <c r="J75" s="207">
        <f t="shared" ref="J75:J90" si="13">ROUND(C75-I75,2)</f>
        <v>0</v>
      </c>
      <c r="K75" s="215"/>
      <c r="L75" s="214">
        <f t="shared" si="12"/>
        <v>0</v>
      </c>
    </row>
    <row r="76" spans="1:12" ht="14.25" customHeight="1">
      <c r="A76" s="105">
        <v>3</v>
      </c>
      <c r="B76" s="275" t="s">
        <v>435</v>
      </c>
      <c r="C76" s="142">
        <f>长期应收!E25</f>
        <v>0</v>
      </c>
      <c r="D76" s="142">
        <f t="shared" si="10"/>
        <v>0</v>
      </c>
      <c r="E76" s="142">
        <f>长期应收!G25</f>
        <v>0</v>
      </c>
      <c r="F76" s="142">
        <f>长期应收!H25</f>
        <v>0</v>
      </c>
      <c r="G76" s="142">
        <f t="shared" si="11"/>
        <v>0</v>
      </c>
      <c r="H76" s="143" t="str">
        <f t="shared" si="9"/>
        <v/>
      </c>
      <c r="I76" s="207"/>
      <c r="J76" s="207">
        <f t="shared" si="13"/>
        <v>0</v>
      </c>
      <c r="K76" s="215"/>
      <c r="L76" s="214">
        <f t="shared" si="12"/>
        <v>0</v>
      </c>
    </row>
    <row r="77" spans="1:12" ht="14.25" customHeight="1">
      <c r="A77" s="102" t="s">
        <v>489</v>
      </c>
      <c r="B77" s="109" t="s">
        <v>474</v>
      </c>
      <c r="C77" s="142">
        <f>存货汇总!C26</f>
        <v>0</v>
      </c>
      <c r="D77" s="142">
        <f t="shared" si="10"/>
        <v>0</v>
      </c>
      <c r="E77" s="142">
        <f>存货汇总!D26</f>
        <v>0</v>
      </c>
      <c r="F77" s="142">
        <f>存货汇总!E26</f>
        <v>0</v>
      </c>
      <c r="G77" s="142">
        <f t="shared" si="11"/>
        <v>0</v>
      </c>
      <c r="H77" s="143" t="str">
        <f t="shared" si="9"/>
        <v/>
      </c>
      <c r="I77" s="207"/>
      <c r="J77" s="207">
        <f t="shared" si="13"/>
        <v>0</v>
      </c>
      <c r="K77" s="215"/>
      <c r="L77" s="214">
        <f t="shared" si="12"/>
        <v>0</v>
      </c>
    </row>
    <row r="78" spans="1:12" ht="14.25" customHeight="1">
      <c r="A78" s="102" t="s">
        <v>490</v>
      </c>
      <c r="B78" s="109" t="s">
        <v>477</v>
      </c>
      <c r="C78" s="142">
        <f>可供出售金融资产汇总!C26</f>
        <v>0</v>
      </c>
      <c r="D78" s="142">
        <f>E78-C78</f>
        <v>0</v>
      </c>
      <c r="E78" s="142">
        <f>可供出售金融资产汇总!E26</f>
        <v>0</v>
      </c>
      <c r="F78" s="142">
        <f>可供出售金融资产汇总!F26</f>
        <v>0</v>
      </c>
      <c r="G78" s="142">
        <f>F78-E78</f>
        <v>0</v>
      </c>
      <c r="H78" s="143" t="str">
        <f>IF(E78=0,"",G78/E78*100)</f>
        <v/>
      </c>
      <c r="I78" s="207"/>
      <c r="J78" s="207">
        <f t="shared" si="13"/>
        <v>0</v>
      </c>
      <c r="K78" s="215"/>
      <c r="L78" s="214">
        <f t="shared" si="12"/>
        <v>0</v>
      </c>
    </row>
    <row r="79" spans="1:12" ht="14.25" customHeight="1">
      <c r="A79" s="102" t="s">
        <v>491</v>
      </c>
      <c r="B79" s="109" t="s">
        <v>478</v>
      </c>
      <c r="C79" s="142">
        <f>持有到期投资!H26</f>
        <v>0</v>
      </c>
      <c r="D79" s="142">
        <f t="shared" si="10"/>
        <v>0</v>
      </c>
      <c r="E79" s="142">
        <f>持有到期投资!J26</f>
        <v>0</v>
      </c>
      <c r="F79" s="142">
        <f>持有到期投资!K26</f>
        <v>0</v>
      </c>
      <c r="G79" s="142">
        <f t="shared" si="11"/>
        <v>0</v>
      </c>
      <c r="H79" s="143" t="str">
        <f t="shared" si="9"/>
        <v/>
      </c>
      <c r="I79" s="207"/>
      <c r="J79" s="207">
        <f t="shared" si="13"/>
        <v>0</v>
      </c>
      <c r="K79" s="215"/>
      <c r="L79" s="214">
        <f t="shared" si="12"/>
        <v>0</v>
      </c>
    </row>
    <row r="80" spans="1:12" ht="14.25" customHeight="1">
      <c r="A80" s="102" t="s">
        <v>492</v>
      </c>
      <c r="B80" s="109" t="s">
        <v>479</v>
      </c>
      <c r="C80" s="142">
        <f>股权投资!G26</f>
        <v>0</v>
      </c>
      <c r="D80" s="142">
        <f t="shared" si="10"/>
        <v>0</v>
      </c>
      <c r="E80" s="142">
        <f>股权投资!I26</f>
        <v>0</v>
      </c>
      <c r="F80" s="142">
        <f>股权投资!J26</f>
        <v>0</v>
      </c>
      <c r="G80" s="142">
        <f t="shared" si="11"/>
        <v>0</v>
      </c>
      <c r="H80" s="143" t="str">
        <f t="shared" si="9"/>
        <v/>
      </c>
      <c r="I80" s="207"/>
      <c r="J80" s="207">
        <f t="shared" si="13"/>
        <v>0</v>
      </c>
      <c r="K80" s="215"/>
      <c r="L80" s="214">
        <f t="shared" si="12"/>
        <v>0</v>
      </c>
    </row>
    <row r="81" spans="1:12" ht="14.25" customHeight="1">
      <c r="A81" s="102" t="s">
        <v>493</v>
      </c>
      <c r="B81" s="109" t="s">
        <v>480</v>
      </c>
      <c r="C81" s="142">
        <f>'4-5-1投资性房地产'!L26+'4-5-3投资性地产'!M26</f>
        <v>0</v>
      </c>
      <c r="D81" s="142">
        <f t="shared" si="10"/>
        <v>0</v>
      </c>
      <c r="E81" s="142">
        <f>'4-5-1投资性房地产'!P26+'4-5-3投资性地产'!O26</f>
        <v>0</v>
      </c>
      <c r="F81" s="142">
        <f>'4-5-1投资性房地产'!S26+'4-5-3投资性地产'!P26</f>
        <v>0</v>
      </c>
      <c r="G81" s="142">
        <f t="shared" si="11"/>
        <v>0</v>
      </c>
      <c r="H81" s="143" t="str">
        <f t="shared" si="9"/>
        <v/>
      </c>
      <c r="I81" s="207"/>
      <c r="J81" s="207">
        <f t="shared" si="13"/>
        <v>0</v>
      </c>
      <c r="K81" s="215"/>
      <c r="L81" s="214">
        <f t="shared" si="12"/>
        <v>0</v>
      </c>
    </row>
    <row r="82" spans="1:12" ht="14.25" customHeight="1">
      <c r="A82" s="102" t="s">
        <v>494</v>
      </c>
      <c r="B82" s="109" t="s">
        <v>481</v>
      </c>
      <c r="C82" s="142" t="e">
        <f>#REF!</f>
        <v>#REF!</v>
      </c>
      <c r="D82" s="142" t="e">
        <f t="shared" si="10"/>
        <v>#REF!</v>
      </c>
      <c r="E82" s="142" t="e">
        <f>#REF!</f>
        <v>#REF!</v>
      </c>
      <c r="F82" s="142" t="e">
        <f>#REF!</f>
        <v>#REF!</v>
      </c>
      <c r="G82" s="142" t="e">
        <f t="shared" si="11"/>
        <v>#REF!</v>
      </c>
      <c r="H82" s="143" t="e">
        <f t="shared" si="9"/>
        <v>#REF!</v>
      </c>
      <c r="I82" s="207"/>
      <c r="J82" s="207" t="e">
        <f t="shared" si="13"/>
        <v>#REF!</v>
      </c>
      <c r="K82" s="215"/>
      <c r="L82" s="214" t="e">
        <f t="shared" si="12"/>
        <v>#REF!</v>
      </c>
    </row>
    <row r="83" spans="1:12" ht="14.25" customHeight="1">
      <c r="A83" s="102" t="s">
        <v>495</v>
      </c>
      <c r="B83" s="109" t="s">
        <v>483</v>
      </c>
      <c r="C83" s="142">
        <f>工程物资!G26</f>
        <v>0</v>
      </c>
      <c r="D83" s="142">
        <f t="shared" si="10"/>
        <v>0</v>
      </c>
      <c r="E83" s="142">
        <f>工程物资!K26</f>
        <v>0</v>
      </c>
      <c r="F83" s="142">
        <f>工程物资!N26</f>
        <v>0</v>
      </c>
      <c r="G83" s="142">
        <f t="shared" si="11"/>
        <v>0</v>
      </c>
      <c r="H83" s="143" t="str">
        <f t="shared" si="9"/>
        <v/>
      </c>
      <c r="I83" s="207"/>
      <c r="J83" s="207">
        <f t="shared" si="13"/>
        <v>0</v>
      </c>
      <c r="K83" s="215"/>
      <c r="L83" s="214">
        <f t="shared" si="12"/>
        <v>0</v>
      </c>
    </row>
    <row r="84" spans="1:12" ht="14.25" customHeight="1">
      <c r="A84" s="102" t="s">
        <v>496</v>
      </c>
      <c r="B84" s="109" t="s">
        <v>482</v>
      </c>
      <c r="C84" s="142">
        <f>在建工程汇总!C26</f>
        <v>0</v>
      </c>
      <c r="D84" s="142">
        <f t="shared" si="10"/>
        <v>0</v>
      </c>
      <c r="E84" s="142">
        <f>在建工程汇总!D26</f>
        <v>0</v>
      </c>
      <c r="F84" s="142">
        <f>在建工程汇总!E26</f>
        <v>0</v>
      </c>
      <c r="G84" s="142">
        <f t="shared" si="11"/>
        <v>0</v>
      </c>
      <c r="H84" s="143" t="str">
        <f t="shared" si="9"/>
        <v/>
      </c>
      <c r="I84" s="207"/>
      <c r="J84" s="207">
        <f t="shared" si="13"/>
        <v>0</v>
      </c>
      <c r="K84" s="215"/>
      <c r="L84" s="214">
        <f t="shared" si="12"/>
        <v>0</v>
      </c>
    </row>
    <row r="85" spans="1:12" ht="14.25" customHeight="1">
      <c r="A85" s="102" t="s">
        <v>497</v>
      </c>
      <c r="B85" s="109" t="s">
        <v>484</v>
      </c>
      <c r="C85" s="142">
        <f>生产性生物资产!I26</f>
        <v>0</v>
      </c>
      <c r="D85" s="142">
        <f t="shared" si="10"/>
        <v>0</v>
      </c>
      <c r="E85" s="142">
        <f>生产性生物资产!M26</f>
        <v>0</v>
      </c>
      <c r="F85" s="142">
        <f>生产性生物资产!P26</f>
        <v>0</v>
      </c>
      <c r="G85" s="142">
        <f t="shared" si="11"/>
        <v>0</v>
      </c>
      <c r="H85" s="143" t="str">
        <f t="shared" si="9"/>
        <v/>
      </c>
      <c r="I85" s="207"/>
      <c r="J85" s="207">
        <f t="shared" si="13"/>
        <v>0</v>
      </c>
      <c r="K85" s="215"/>
      <c r="L85" s="214">
        <f t="shared" si="12"/>
        <v>0</v>
      </c>
    </row>
    <row r="86" spans="1:12" ht="14.25" customHeight="1">
      <c r="A86" s="105">
        <v>1</v>
      </c>
      <c r="B86" s="204" t="s">
        <v>485</v>
      </c>
      <c r="C86" s="142"/>
      <c r="D86" s="142">
        <f t="shared" si="10"/>
        <v>0</v>
      </c>
      <c r="E86" s="142"/>
      <c r="F86" s="142"/>
      <c r="G86" s="142">
        <f t="shared" si="11"/>
        <v>0</v>
      </c>
      <c r="H86" s="143" t="str">
        <f t="shared" si="9"/>
        <v/>
      </c>
      <c r="I86" s="207"/>
      <c r="J86" s="207">
        <f>ROUND(C86-I86,2)</f>
        <v>0</v>
      </c>
      <c r="K86" s="215"/>
      <c r="L86" s="214">
        <f t="shared" si="12"/>
        <v>0</v>
      </c>
    </row>
    <row r="87" spans="1:12" ht="14.25" customHeight="1">
      <c r="A87" s="102" t="s">
        <v>498</v>
      </c>
      <c r="B87" s="109" t="s">
        <v>486</v>
      </c>
      <c r="C87" s="142">
        <f>油气资产!J26</f>
        <v>0</v>
      </c>
      <c r="D87" s="142">
        <f t="shared" si="10"/>
        <v>0</v>
      </c>
      <c r="E87" s="142">
        <f>油气资产!N26</f>
        <v>0</v>
      </c>
      <c r="F87" s="142">
        <f>油气资产!Q26</f>
        <v>0</v>
      </c>
      <c r="G87" s="142">
        <f t="shared" si="11"/>
        <v>0</v>
      </c>
      <c r="H87" s="143" t="str">
        <f t="shared" si="9"/>
        <v/>
      </c>
      <c r="I87" s="207"/>
      <c r="J87" s="207">
        <f t="shared" si="13"/>
        <v>0</v>
      </c>
      <c r="K87" s="215"/>
      <c r="L87" s="214">
        <f t="shared" si="12"/>
        <v>0</v>
      </c>
    </row>
    <row r="88" spans="1:12" ht="14.25" customHeight="1">
      <c r="A88" s="102" t="s">
        <v>499</v>
      </c>
      <c r="B88" s="109" t="s">
        <v>487</v>
      </c>
      <c r="C88" s="142">
        <f>无形资产汇总!C25</f>
        <v>0</v>
      </c>
      <c r="D88" s="142">
        <f t="shared" si="10"/>
        <v>0</v>
      </c>
      <c r="E88" s="142">
        <f>无形资产汇总!D25</f>
        <v>0</v>
      </c>
      <c r="F88" s="142">
        <f>无形资产汇总!E25</f>
        <v>0</v>
      </c>
      <c r="G88" s="142">
        <f t="shared" si="11"/>
        <v>0</v>
      </c>
      <c r="H88" s="143" t="str">
        <f t="shared" si="9"/>
        <v/>
      </c>
      <c r="I88" s="207"/>
      <c r="J88" s="207">
        <f t="shared" si="13"/>
        <v>0</v>
      </c>
      <c r="K88" s="215"/>
      <c r="L88" s="214">
        <f t="shared" si="12"/>
        <v>0</v>
      </c>
    </row>
    <row r="89" spans="1:12" ht="14.25" customHeight="1">
      <c r="A89" s="102" t="s">
        <v>500</v>
      </c>
      <c r="B89" s="109" t="s">
        <v>488</v>
      </c>
      <c r="C89" s="142">
        <f>商誉!D26</f>
        <v>0</v>
      </c>
      <c r="D89" s="142">
        <f t="shared" si="10"/>
        <v>0</v>
      </c>
      <c r="E89" s="142">
        <f>商誉!F26</f>
        <v>0</v>
      </c>
      <c r="F89" s="142">
        <f>商誉!G26</f>
        <v>0</v>
      </c>
      <c r="G89" s="142">
        <f t="shared" si="11"/>
        <v>0</v>
      </c>
      <c r="H89" s="143" t="str">
        <f t="shared" si="9"/>
        <v/>
      </c>
      <c r="I89" s="207"/>
      <c r="J89" s="207">
        <f t="shared" si="13"/>
        <v>0</v>
      </c>
      <c r="K89" s="215"/>
      <c r="L89" s="214">
        <f t="shared" si="12"/>
        <v>0</v>
      </c>
    </row>
    <row r="90" spans="1:12" ht="14.25" customHeight="1">
      <c r="A90" s="102" t="s">
        <v>501</v>
      </c>
      <c r="B90" s="109" t="s">
        <v>475</v>
      </c>
      <c r="C90" s="142"/>
      <c r="D90" s="142">
        <f t="shared" si="10"/>
        <v>0</v>
      </c>
      <c r="E90" s="142"/>
      <c r="F90" s="142"/>
      <c r="G90" s="142">
        <f t="shared" si="11"/>
        <v>0</v>
      </c>
      <c r="H90" s="143" t="str">
        <f t="shared" si="9"/>
        <v/>
      </c>
      <c r="I90" s="207"/>
      <c r="J90" s="207">
        <f t="shared" si="13"/>
        <v>0</v>
      </c>
      <c r="K90" s="215"/>
      <c r="L90" s="214">
        <f t="shared" si="12"/>
        <v>0</v>
      </c>
    </row>
    <row r="91" spans="1:12" ht="14.25" customHeight="1">
      <c r="A91" s="105"/>
      <c r="B91" s="228" t="s">
        <v>176</v>
      </c>
      <c r="C91" s="142" t="e">
        <f>SUM(C73,C77:C85,C87:C90)</f>
        <v>#REF!</v>
      </c>
      <c r="D91" s="142" t="e">
        <f>SUM(D73,D77:D85,D87:D90)</f>
        <v>#REF!</v>
      </c>
      <c r="E91" s="142" t="e">
        <f>SUM(E73,E77:E85,E87:E90)</f>
        <v>#REF!</v>
      </c>
      <c r="F91" s="142" t="e">
        <f>SUM(F73,F77:F85,F87:F90)</f>
        <v>#REF!</v>
      </c>
      <c r="G91" s="142" t="e">
        <f>SUM(G73,G77:G85,G87:G90)</f>
        <v>#REF!</v>
      </c>
      <c r="H91" s="143" t="e">
        <f t="shared" si="9"/>
        <v>#REF!</v>
      </c>
      <c r="I91" s="207">
        <f>SUM(I73,I77:I85,I87:I90)</f>
        <v>0</v>
      </c>
      <c r="J91" s="207" t="e">
        <f>SUM(J73,J77:J85,J87:J90)</f>
        <v>#REF!</v>
      </c>
      <c r="K91" s="215">
        <f>SUM(K73,K77:K85,K87:K90)</f>
        <v>0</v>
      </c>
      <c r="L91" s="214" t="e">
        <f>SUM(L73,L77:L85,L87:L90)</f>
        <v>#REF!</v>
      </c>
    </row>
  </sheetData>
  <sheetProtection formatColumns="0"/>
  <mergeCells count="2">
    <mergeCell ref="A2:H2"/>
    <mergeCell ref="A3:H3"/>
  </mergeCells>
  <phoneticPr fontId="6" type="noConversion"/>
  <hyperlinks>
    <hyperlink ref="B6" location="流动汇总!B1" display="返回"/>
    <hyperlink ref="B7" location="流动汇总!B6" display="货币资金"/>
    <hyperlink ref="B9" location="流动汇总!B8" display="应收票据"/>
    <hyperlink ref="B10" location="流动汇总!B9" display="应收账款"/>
    <hyperlink ref="B13" location="流动汇总!B12" display="应收股利"/>
    <hyperlink ref="B12" location="流动汇总!B11" display="应收利息"/>
    <hyperlink ref="B11" location="流动汇总!B10" display="预付账款"/>
    <hyperlink ref="B14" location="流动汇总!B13" display="其他应收款"/>
    <hyperlink ref="B15" location="流动汇总!B14" display="存货"/>
    <hyperlink ref="B16" location="流动汇总!B15" display="一年内到期的非流动资产"/>
    <hyperlink ref="B17" location="流动汇总!B16" display="其他流动资产"/>
    <hyperlink ref="B25" location="固定资产汇总!B18" display="固定资产"/>
    <hyperlink ref="B27" location="固定资产汇总!B22" display="工程物资"/>
    <hyperlink ref="B26" location="固定资产汇总!B20" display="在建工程"/>
    <hyperlink ref="B28" location="固定资产汇总!B24" display="固定资产清理"/>
    <hyperlink ref="B34" location="长期待摊费用!B1" display="返回"/>
    <hyperlink ref="B39" location="流动负债汇总!B1" display="返回"/>
    <hyperlink ref="B40" location="流动负债汇总!B6" display="短期借款"/>
    <hyperlink ref="B42" location="流动负债汇总!B8" display="应付票据"/>
    <hyperlink ref="B43" location="流动负债汇总!B9" display="应付账款"/>
    <hyperlink ref="B44" location="流动负债汇总!B10" display="预收款项"/>
    <hyperlink ref="B49" location="流动负债汇总!B15" display="其他应付款"/>
    <hyperlink ref="B46" location="流动负债汇总!B12" display="应交税费"/>
    <hyperlink ref="B48" location="流动负债汇总!B14" display="应付股利（应付利润）"/>
    <hyperlink ref="B50" location="流动负债汇总!B16" display="一年内到期的非流动负债"/>
    <hyperlink ref="B51" location="流动负债汇总!B17" display="其他流动负债"/>
    <hyperlink ref="B53" location="'非流动负债汇总 '!B1" display="返回"/>
    <hyperlink ref="B54" location="'非流动负债汇总 '!B6" display="长期借款"/>
    <hyperlink ref="B55" location="'非流动负债汇总 '!B7" display="应付债券"/>
    <hyperlink ref="B56" location="'非流动负债汇总 '!B8" display="长期应付款"/>
    <hyperlink ref="B57" location="'非流动负债汇总 '!B9" display="专项应付款"/>
    <hyperlink ref="B60" location="'非流动负债汇总 '!B12" display="其他非流动负债"/>
    <hyperlink ref="B59" location="'非流动负债汇总 '!B11" display="递延所得税负债"/>
    <hyperlink ref="A1" location="索引目录!B6" display="分类汇总表"/>
    <hyperlink ref="B8" location="流动汇总!B7" display="短期投资"/>
    <hyperlink ref="B1" location="汇总表!A1" display="汇总表!A1"/>
    <hyperlink ref="B20" location="长期投资汇总!B6" display="可供出售金融资产"/>
    <hyperlink ref="B21" location="长期投资汇总!B7" display="持有至到期投资"/>
    <hyperlink ref="B22" location="长期投资汇总!B8" display="长期应收款"/>
    <hyperlink ref="B23" location="长期投资汇总!B9" display="长期股权投资"/>
    <hyperlink ref="B24" location="长期投资汇总!B10" display="投资性房地产"/>
    <hyperlink ref="B29" location="固定资产汇总!B26" display="生产性生物资产"/>
    <hyperlink ref="B30" location="固定资产汇总!B28" display="油气资产"/>
    <hyperlink ref="B31" location="无形资产汇总!B10" display="无形资产净额"/>
    <hyperlink ref="B32" location="无形资产汇总!B12" display="开发支出"/>
    <hyperlink ref="B33" location="无形资产汇总!B14" display="商誉"/>
    <hyperlink ref="B35" location="递延所得税资产!B1" display="返回"/>
    <hyperlink ref="B36" location="其他非流动资产!B1" display="返回"/>
    <hyperlink ref="B41" location="流动负债汇总!B7" display="交易性金融负债"/>
    <hyperlink ref="B45" location="流动负债汇总!B11" display="应付职工薪酬"/>
    <hyperlink ref="B47" location="流动负债汇总!B13" display="应付利息"/>
    <hyperlink ref="B58" location="'非流动负债汇总 '!B10" display="预计负债"/>
  </hyperlinks>
  <printOptions horizontalCentered="1"/>
  <pageMargins left="0.55118110236220474" right="0.55118110236220474" top="0.51181102362204722" bottom="0.47" header="0.74803149606299213" footer="0.23622047244094491"/>
  <pageSetup paperSize="9" scale="80" fitToHeight="0" orientation="landscape" horizontalDpi="4294967292" r:id="rId1"/>
  <headerFooter alignWithMargins="0">
    <oddHeader>&amp;R&amp;"宋体,常规"&amp;10表&amp;"Times New Roman,常规"2
&amp;"宋体,常规"共&amp;"Times New Roman,常规"&amp;N&amp;"宋体,常规"页第&amp;"Times New Roman,常规"&amp;P&amp;"宋体,常规"页</oddHeader>
  </headerFooter>
  <rowBreaks count="1" manualBreakCount="1">
    <brk id="38" max="7" man="1"/>
  </rowBreaks>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4">
    <pageSetUpPr fitToPage="1"/>
  </sheetPr>
  <dimension ref="A1:I29"/>
  <sheetViews>
    <sheetView workbookViewId="0">
      <selection activeCell="H10" sqref="H10"/>
    </sheetView>
  </sheetViews>
  <sheetFormatPr defaultRowHeight="15.75" customHeight="1" outlineLevelCol="1"/>
  <cols>
    <col min="1" max="1" width="6.375" style="4" customWidth="1"/>
    <col min="2" max="2" width="25.375" style="4" customWidth="1"/>
    <col min="3" max="3" width="13.875" style="4" customWidth="1"/>
    <col min="4" max="4" width="26.625" style="4" customWidth="1"/>
    <col min="5" max="5" width="16.5" style="4" customWidth="1" outlineLevel="1"/>
    <col min="6" max="6" width="10.75" style="4" customWidth="1" outlineLevel="1"/>
    <col min="7" max="8" width="16.5" style="4" customWidth="1"/>
    <col min="9" max="9" width="15.5" style="4" customWidth="1"/>
    <col min="10" max="16384" width="9" style="4"/>
  </cols>
  <sheetData>
    <row r="1" spans="1:9" ht="14.25">
      <c r="A1" s="272" t="s">
        <v>130</v>
      </c>
      <c r="B1" s="196" t="s">
        <v>131</v>
      </c>
      <c r="C1" s="1"/>
      <c r="D1" s="1"/>
      <c r="E1" s="1"/>
      <c r="F1" s="1"/>
      <c r="G1" s="1"/>
      <c r="H1" s="1"/>
      <c r="I1" s="1"/>
    </row>
    <row r="2" spans="1:9" s="114" customFormat="1" ht="30" customHeight="1">
      <c r="A2" s="790" t="s">
        <v>853</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350</v>
      </c>
    </row>
    <row r="5" spans="1:9" s="1" customFormat="1" ht="15.75" customHeight="1">
      <c r="A5" s="2" t="s">
        <v>371</v>
      </c>
      <c r="B5" s="2" t="s">
        <v>380</v>
      </c>
      <c r="C5" s="2" t="s">
        <v>381</v>
      </c>
      <c r="D5" s="2" t="s">
        <v>382</v>
      </c>
      <c r="E5" s="2" t="s">
        <v>426</v>
      </c>
      <c r="F5" s="2" t="s">
        <v>710</v>
      </c>
      <c r="G5" s="2" t="s">
        <v>315</v>
      </c>
      <c r="H5" s="2" t="s">
        <v>353</v>
      </c>
      <c r="I5" s="2" t="s">
        <v>377</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237</v>
      </c>
      <c r="B27" s="810"/>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15" display="其他应付款"/>
    <hyperlink ref="B1" location="流动负债汇总!B15" display="其他应付款"/>
  </hyperlinks>
  <printOptions horizontalCentered="1"/>
  <pageMargins left="0.35433070866141736" right="0.35433070866141736" top="0.78740157480314965" bottom="0.78740157480314965" header="1.03" footer="0.51181102362204722"/>
  <pageSetup paperSize="9" scale="88" fitToHeight="0" orientation="landscape" horizontalDpi="4294967292" r:id="rId1"/>
  <headerFooter alignWithMargins="0">
    <oddHeader>&amp;R&amp;"宋体,常规"&amp;10表&amp;"Times New Roman,常规"5-10
&amp;"宋体,常规"共&amp;"Times New Roman,常规"&amp;N&amp;"宋体,常规"页第&amp;"Times New Roman,常规"&amp;P&amp;"宋体,常规"页</oddHeader>
  </headerFooter>
  <legacyDrawing r:id="rId2"/>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1">
    <pageSetUpPr fitToPage="1"/>
  </sheetPr>
  <dimension ref="A1:J29"/>
  <sheetViews>
    <sheetView workbookViewId="0">
      <selection activeCell="H10" sqref="H10"/>
    </sheetView>
  </sheetViews>
  <sheetFormatPr defaultRowHeight="15.75" customHeight="1" outlineLevelCol="1"/>
  <cols>
    <col min="1" max="1" width="7" style="4" customWidth="1"/>
    <col min="2" max="2" width="33.625" style="4" customWidth="1"/>
    <col min="3" max="4" width="13.625" style="4" customWidth="1"/>
    <col min="5" max="5" width="11.25" style="4" customWidth="1"/>
    <col min="6" max="7" width="15.125" style="4" customWidth="1" outlineLevel="1"/>
    <col min="8" max="9" width="15.125" style="4" customWidth="1"/>
    <col min="10" max="10" width="14.625" style="4" customWidth="1"/>
    <col min="11" max="16384" width="9" style="4"/>
  </cols>
  <sheetData>
    <row r="1" spans="1:10" ht="14.25">
      <c r="A1" s="272" t="s">
        <v>130</v>
      </c>
      <c r="B1" s="196" t="s">
        <v>131</v>
      </c>
      <c r="C1" s="1"/>
      <c r="D1" s="1"/>
      <c r="E1" s="1"/>
      <c r="F1" s="1"/>
      <c r="G1" s="1"/>
      <c r="H1" s="1"/>
      <c r="I1" s="1"/>
      <c r="J1" s="1"/>
    </row>
    <row r="2" spans="1:10" s="114" customFormat="1" ht="30" customHeight="1">
      <c r="A2" s="790" t="s">
        <v>852</v>
      </c>
      <c r="B2" s="791"/>
      <c r="C2" s="791"/>
      <c r="D2" s="791"/>
      <c r="E2" s="791"/>
      <c r="F2" s="791"/>
      <c r="G2" s="791"/>
      <c r="H2" s="791"/>
      <c r="I2" s="791"/>
      <c r="J2" s="791"/>
    </row>
    <row r="3" spans="1:10" ht="14.1" customHeight="1">
      <c r="A3" s="792" t="e">
        <f>CONCATENATE(#REF!,#REF!,#REF!,#REF!,#REF!,#REF!,#REF!)</f>
        <v>#REF!</v>
      </c>
      <c r="B3" s="792"/>
      <c r="C3" s="792"/>
      <c r="D3" s="792"/>
      <c r="E3" s="792"/>
      <c r="F3" s="792"/>
      <c r="G3" s="792"/>
      <c r="H3" s="792"/>
      <c r="I3" s="808"/>
      <c r="J3" s="808"/>
    </row>
    <row r="4" spans="1:10" ht="15.75" customHeight="1">
      <c r="A4" s="115" t="e">
        <f>#REF!&amp;#REF!</f>
        <v>#REF!</v>
      </c>
      <c r="J4" s="106" t="s">
        <v>3</v>
      </c>
    </row>
    <row r="5" spans="1:10" s="1" customFormat="1" ht="15.75" customHeight="1">
      <c r="A5" s="2" t="s">
        <v>4</v>
      </c>
      <c r="B5" s="2" t="s">
        <v>644</v>
      </c>
      <c r="C5" s="2" t="s">
        <v>53</v>
      </c>
      <c r="D5" s="2" t="s">
        <v>231</v>
      </c>
      <c r="E5" s="2" t="s">
        <v>236</v>
      </c>
      <c r="F5" s="2" t="s">
        <v>426</v>
      </c>
      <c r="G5" s="2" t="s">
        <v>710</v>
      </c>
      <c r="H5" s="2" t="s">
        <v>315</v>
      </c>
      <c r="I5" s="2" t="s">
        <v>0</v>
      </c>
      <c r="J5" s="2" t="s">
        <v>72</v>
      </c>
    </row>
    <row r="6" spans="1:10" ht="15.75" customHeight="1">
      <c r="A6" s="105"/>
      <c r="B6" s="128"/>
      <c r="C6" s="121"/>
      <c r="D6" s="121"/>
      <c r="E6" s="105"/>
      <c r="F6" s="142"/>
      <c r="G6" s="142"/>
      <c r="H6" s="142"/>
      <c r="I6" s="142"/>
      <c r="J6" s="120"/>
    </row>
    <row r="7" spans="1:10" ht="15.75" customHeight="1">
      <c r="A7" s="105"/>
      <c r="B7" s="128"/>
      <c r="C7" s="121"/>
      <c r="D7" s="121"/>
      <c r="E7" s="105"/>
      <c r="F7" s="142"/>
      <c r="G7" s="142"/>
      <c r="H7" s="142"/>
      <c r="I7" s="142"/>
      <c r="J7" s="120"/>
    </row>
    <row r="8" spans="1:10" ht="15.75" customHeight="1">
      <c r="A8" s="105"/>
      <c r="B8" s="128"/>
      <c r="C8" s="121"/>
      <c r="D8" s="121"/>
      <c r="E8" s="105"/>
      <c r="F8" s="142"/>
      <c r="G8" s="142"/>
      <c r="H8" s="142"/>
      <c r="I8" s="142"/>
      <c r="J8" s="120"/>
    </row>
    <row r="9" spans="1:10" ht="15.75" customHeight="1">
      <c r="A9" s="105"/>
      <c r="B9" s="128"/>
      <c r="C9" s="121"/>
      <c r="D9" s="121"/>
      <c r="E9" s="105"/>
      <c r="F9" s="142"/>
      <c r="G9" s="142"/>
      <c r="H9" s="142"/>
      <c r="I9" s="142"/>
      <c r="J9" s="120"/>
    </row>
    <row r="10" spans="1:10" ht="15.75" customHeight="1">
      <c r="A10" s="105"/>
      <c r="B10" s="128"/>
      <c r="C10" s="121"/>
      <c r="D10" s="121"/>
      <c r="E10" s="105"/>
      <c r="F10" s="142"/>
      <c r="G10" s="142"/>
      <c r="H10" s="142"/>
      <c r="I10" s="142"/>
      <c r="J10" s="120"/>
    </row>
    <row r="11" spans="1:10" ht="15.75" customHeight="1">
      <c r="A11" s="105"/>
      <c r="B11" s="128"/>
      <c r="C11" s="121"/>
      <c r="D11" s="121"/>
      <c r="E11" s="105"/>
      <c r="F11" s="142"/>
      <c r="G11" s="142"/>
      <c r="H11" s="142"/>
      <c r="I11" s="142"/>
      <c r="J11" s="120"/>
    </row>
    <row r="12" spans="1:10" ht="15.75" customHeight="1">
      <c r="A12" s="105"/>
      <c r="B12" s="128"/>
      <c r="C12" s="121"/>
      <c r="D12" s="121"/>
      <c r="E12" s="105"/>
      <c r="F12" s="142"/>
      <c r="G12" s="142"/>
      <c r="H12" s="142"/>
      <c r="I12" s="142"/>
      <c r="J12" s="120"/>
    </row>
    <row r="13" spans="1:10" ht="15.75" customHeight="1">
      <c r="A13" s="105"/>
      <c r="B13" s="128"/>
      <c r="C13" s="121"/>
      <c r="D13" s="121"/>
      <c r="E13" s="105"/>
      <c r="F13" s="142"/>
      <c r="G13" s="142"/>
      <c r="H13" s="142"/>
      <c r="I13" s="142"/>
      <c r="J13" s="120"/>
    </row>
    <row r="14" spans="1:10" ht="15.75" customHeight="1">
      <c r="A14" s="105"/>
      <c r="B14" s="128"/>
      <c r="C14" s="121"/>
      <c r="D14" s="121"/>
      <c r="E14" s="105"/>
      <c r="F14" s="142"/>
      <c r="G14" s="142"/>
      <c r="H14" s="142"/>
      <c r="I14" s="142"/>
      <c r="J14" s="120"/>
    </row>
    <row r="15" spans="1:10" ht="15.75" customHeight="1">
      <c r="A15" s="105"/>
      <c r="B15" s="128"/>
      <c r="C15" s="121"/>
      <c r="D15" s="121"/>
      <c r="E15" s="105"/>
      <c r="F15" s="142"/>
      <c r="G15" s="142"/>
      <c r="H15" s="142"/>
      <c r="I15" s="142"/>
      <c r="J15" s="120"/>
    </row>
    <row r="16" spans="1:10" ht="15.75" customHeight="1">
      <c r="A16" s="105"/>
      <c r="B16" s="128"/>
      <c r="C16" s="121"/>
      <c r="D16" s="121"/>
      <c r="E16" s="105"/>
      <c r="F16" s="142"/>
      <c r="G16" s="142"/>
      <c r="H16" s="142"/>
      <c r="I16" s="142"/>
      <c r="J16" s="120"/>
    </row>
    <row r="17" spans="1:10" ht="15.75" customHeight="1">
      <c r="A17" s="105"/>
      <c r="B17" s="128"/>
      <c r="C17" s="121"/>
      <c r="D17" s="121"/>
      <c r="E17" s="105"/>
      <c r="F17" s="142"/>
      <c r="G17" s="142"/>
      <c r="H17" s="142"/>
      <c r="I17" s="142"/>
      <c r="J17" s="120"/>
    </row>
    <row r="18" spans="1:10" ht="15.75" customHeight="1">
      <c r="A18" s="105"/>
      <c r="B18" s="128"/>
      <c r="C18" s="121"/>
      <c r="D18" s="121"/>
      <c r="E18" s="105"/>
      <c r="F18" s="142"/>
      <c r="G18" s="142"/>
      <c r="H18" s="142"/>
      <c r="I18" s="142"/>
      <c r="J18" s="120"/>
    </row>
    <row r="19" spans="1:10" ht="15.75" customHeight="1">
      <c r="A19" s="105"/>
      <c r="B19" s="128"/>
      <c r="C19" s="121"/>
      <c r="D19" s="121"/>
      <c r="E19" s="105"/>
      <c r="F19" s="142"/>
      <c r="G19" s="142"/>
      <c r="H19" s="142"/>
      <c r="I19" s="142"/>
      <c r="J19" s="120"/>
    </row>
    <row r="20" spans="1:10" ht="15.75" customHeight="1">
      <c r="A20" s="105"/>
      <c r="B20" s="128"/>
      <c r="C20" s="121"/>
      <c r="D20" s="121"/>
      <c r="E20" s="105"/>
      <c r="F20" s="142"/>
      <c r="G20" s="142"/>
      <c r="H20" s="142"/>
      <c r="I20" s="142"/>
      <c r="J20" s="120"/>
    </row>
    <row r="21" spans="1:10" ht="15.75" customHeight="1">
      <c r="A21" s="105"/>
      <c r="B21" s="128"/>
      <c r="C21" s="121"/>
      <c r="D21" s="121"/>
      <c r="E21" s="105"/>
      <c r="F21" s="142"/>
      <c r="G21" s="142"/>
      <c r="H21" s="142"/>
      <c r="I21" s="142"/>
      <c r="J21" s="120"/>
    </row>
    <row r="22" spans="1:10" ht="15.75" customHeight="1">
      <c r="A22" s="105"/>
      <c r="B22" s="128"/>
      <c r="C22" s="121"/>
      <c r="D22" s="121"/>
      <c r="E22" s="105"/>
      <c r="F22" s="142"/>
      <c r="G22" s="142"/>
      <c r="H22" s="142"/>
      <c r="I22" s="142"/>
      <c r="J22" s="120"/>
    </row>
    <row r="23" spans="1:10" ht="15.75" customHeight="1">
      <c r="A23" s="105"/>
      <c r="B23" s="128"/>
      <c r="C23" s="121"/>
      <c r="D23" s="121"/>
      <c r="E23" s="105"/>
      <c r="F23" s="142"/>
      <c r="G23" s="142"/>
      <c r="H23" s="142"/>
      <c r="I23" s="142"/>
      <c r="J23" s="120"/>
    </row>
    <row r="24" spans="1:10" ht="15.75" customHeight="1">
      <c r="A24" s="105"/>
      <c r="B24" s="128"/>
      <c r="C24" s="121"/>
      <c r="D24" s="121"/>
      <c r="E24" s="105"/>
      <c r="F24" s="142"/>
      <c r="G24" s="142"/>
      <c r="H24" s="142"/>
      <c r="I24" s="142"/>
      <c r="J24" s="120"/>
    </row>
    <row r="25" spans="1:10" ht="15.75" customHeight="1">
      <c r="A25" s="105"/>
      <c r="B25" s="128"/>
      <c r="C25" s="121"/>
      <c r="D25" s="121"/>
      <c r="E25" s="105"/>
      <c r="F25" s="142"/>
      <c r="G25" s="142"/>
      <c r="H25" s="142"/>
      <c r="I25" s="142"/>
      <c r="J25" s="120"/>
    </row>
    <row r="26" spans="1:10" ht="15.75" customHeight="1">
      <c r="A26" s="105"/>
      <c r="B26" s="128"/>
      <c r="C26" s="121"/>
      <c r="D26" s="121"/>
      <c r="E26" s="105"/>
      <c r="F26" s="142"/>
      <c r="G26" s="142"/>
      <c r="H26" s="142"/>
      <c r="I26" s="142"/>
      <c r="J26" s="120"/>
    </row>
    <row r="27" spans="1:10" ht="15.75" customHeight="1">
      <c r="A27" s="809" t="s">
        <v>57</v>
      </c>
      <c r="B27" s="810"/>
      <c r="C27" s="121"/>
      <c r="D27" s="121"/>
      <c r="E27" s="120"/>
      <c r="F27" s="142">
        <f>SUM(F6:F26)</f>
        <v>0</v>
      </c>
      <c r="G27" s="142"/>
      <c r="H27" s="142">
        <f>SUM(H6:H26)</f>
        <v>0</v>
      </c>
      <c r="I27" s="142">
        <f>SUM(I6:I26)</f>
        <v>0</v>
      </c>
      <c r="J27" s="120"/>
    </row>
    <row r="28" spans="1:10" ht="15.75" customHeight="1">
      <c r="A28" s="101" t="e">
        <f>#REF!&amp;#REF!</f>
        <v>#REF!</v>
      </c>
      <c r="H28" s="115" t="e">
        <f>"评估人员："&amp;#REF!</f>
        <v>#REF!</v>
      </c>
    </row>
    <row r="29" spans="1:10" ht="15.75" customHeight="1">
      <c r="A29" s="101" t="e">
        <f>CONCATENATE(#REF!,#REF!,#REF!,#REF!,#REF!,#REF!,#REF!)</f>
        <v>#REF!</v>
      </c>
    </row>
  </sheetData>
  <mergeCells count="3">
    <mergeCell ref="A2:J2"/>
    <mergeCell ref="A3:J3"/>
    <mergeCell ref="A27:B27"/>
  </mergeCells>
  <phoneticPr fontId="6" type="noConversion"/>
  <hyperlinks>
    <hyperlink ref="A1" location="索引目录!I16" display="一年内到期的非流动负债"/>
    <hyperlink ref="B1" location="流动负债汇总!B16" display="一年内到期的非流动负债"/>
  </hyperlinks>
  <printOptions horizontalCentered="1"/>
  <pageMargins left="0.35433070866141736" right="0.35433070866141736" top="0.78740157480314965" bottom="0.78740157480314965" header="1.05" footer="0.51181102362204722"/>
  <pageSetup paperSize="9" scale="85" fitToHeight="0" orientation="landscape" horizontalDpi="4294967292" r:id="rId1"/>
  <headerFooter alignWithMargins="0">
    <oddHeader>&amp;R&amp;"宋体,常规"&amp;10表&amp;"Times New Roman,常规"5-11
&amp;"宋体,常规"共&amp;"Times New Roman,常规"&amp;N&amp;"宋体,常规"页第&amp;"Times New Roman,常规"&amp;P&amp;"宋体,常规"页</oddHeader>
  </headerFooter>
  <legacy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A1:I29"/>
  <sheetViews>
    <sheetView workbookViewId="0">
      <selection activeCell="H10" sqref="H10"/>
    </sheetView>
  </sheetViews>
  <sheetFormatPr defaultRowHeight="15.75" customHeight="1" outlineLevelCol="1"/>
  <cols>
    <col min="1" max="1" width="6" style="4" customWidth="1"/>
    <col min="2" max="2" width="30.375" style="4" customWidth="1"/>
    <col min="3" max="3" width="16.5" style="4" customWidth="1"/>
    <col min="4" max="4" width="21.5" style="4" customWidth="1"/>
    <col min="5" max="5" width="16.5" style="4" customWidth="1" outlineLevel="1"/>
    <col min="6" max="6" width="10.25" style="4" customWidth="1" outlineLevel="1"/>
    <col min="7" max="8" width="16.5" style="4" customWidth="1"/>
    <col min="9" max="9" width="15.5" style="4" customWidth="1"/>
    <col min="10" max="16384" width="9" style="4"/>
  </cols>
  <sheetData>
    <row r="1" spans="1:9" ht="14.25">
      <c r="A1" s="272" t="s">
        <v>130</v>
      </c>
      <c r="B1" s="196" t="s">
        <v>131</v>
      </c>
      <c r="C1" s="1"/>
      <c r="D1" s="1"/>
      <c r="E1" s="1"/>
      <c r="F1" s="1"/>
      <c r="G1" s="1"/>
      <c r="H1" s="1"/>
      <c r="I1" s="1"/>
    </row>
    <row r="2" spans="1:9" s="114" customFormat="1" ht="30" customHeight="1">
      <c r="A2" s="790" t="s">
        <v>851</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350</v>
      </c>
    </row>
    <row r="5" spans="1:9" s="1" customFormat="1" ht="15.75" customHeight="1">
      <c r="A5" s="2" t="s">
        <v>371</v>
      </c>
      <c r="B5" s="2" t="s">
        <v>380</v>
      </c>
      <c r="C5" s="2" t="s">
        <v>381</v>
      </c>
      <c r="D5" s="2" t="s">
        <v>383</v>
      </c>
      <c r="E5" s="2" t="s">
        <v>426</v>
      </c>
      <c r="F5" s="2" t="s">
        <v>710</v>
      </c>
      <c r="G5" s="2" t="s">
        <v>315</v>
      </c>
      <c r="H5" s="2" t="s">
        <v>353</v>
      </c>
      <c r="I5" s="2" t="s">
        <v>377</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57</v>
      </c>
      <c r="B27" s="810"/>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17" display="其他流动负债"/>
    <hyperlink ref="B1" location="流动负债汇总!B17" display="其他流动负债"/>
  </hyperlinks>
  <printOptions horizontalCentered="1"/>
  <pageMargins left="0.35433070866141736" right="0.35433070866141736" top="0.78740157480314965" bottom="0.78740157480314965" header="1.05" footer="0.51181102362204722"/>
  <pageSetup paperSize="9" scale="87" fitToHeight="0" orientation="landscape" horizontalDpi="4294967292" r:id="rId1"/>
  <headerFooter alignWithMargins="0">
    <oddHeader>&amp;R&amp;"宋体,常规"&amp;10表&amp;"Times New Roman,常规"5-12
&amp;"宋体,常规"共&amp;"Times New Roman,常规"&amp;N&amp;"宋体,常规"页第&amp;"Times New Roman,常规"&amp;P&amp;"宋体,常规"页</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enableFormatConditionsCalculation="0">
    <tabColor indexed="10"/>
    <pageSetUpPr fitToPage="1"/>
  </sheetPr>
  <dimension ref="A1:G30"/>
  <sheetViews>
    <sheetView zoomScale="85" workbookViewId="0">
      <selection activeCell="H10" sqref="H10"/>
    </sheetView>
  </sheetViews>
  <sheetFormatPr defaultRowHeight="15.75" customHeight="1" outlineLevelCol="1"/>
  <cols>
    <col min="1" max="1" width="7.25" style="4" customWidth="1"/>
    <col min="2" max="2" width="25.5" style="4" customWidth="1"/>
    <col min="3" max="3" width="19.125" style="4" customWidth="1" outlineLevel="1"/>
    <col min="4" max="4" width="26.625" style="4" customWidth="1"/>
    <col min="5" max="5" width="25.875" style="4" customWidth="1"/>
    <col min="6" max="6" width="21.25" style="4" customWidth="1"/>
    <col min="7" max="7" width="15" style="4" customWidth="1"/>
    <col min="8" max="16384" width="9" style="4"/>
  </cols>
  <sheetData>
    <row r="1" spans="1:7" ht="14.25">
      <c r="A1" s="272" t="s">
        <v>206</v>
      </c>
      <c r="B1" s="196" t="s">
        <v>132</v>
      </c>
      <c r="C1" s="1"/>
      <c r="D1" s="1"/>
      <c r="E1" s="1"/>
      <c r="F1" s="1"/>
      <c r="G1" s="1"/>
    </row>
    <row r="2" spans="1:7" s="114" customFormat="1" ht="30" customHeight="1">
      <c r="A2" s="790" t="s">
        <v>850</v>
      </c>
      <c r="B2" s="791"/>
      <c r="C2" s="791"/>
      <c r="D2" s="791"/>
      <c r="E2" s="791"/>
      <c r="F2" s="791"/>
      <c r="G2" s="791"/>
    </row>
    <row r="3" spans="1:7" ht="14.1" customHeight="1">
      <c r="A3" s="792" t="e">
        <f>CONCATENATE(#REF!,#REF!,#REF!,#REF!,#REF!,#REF!,#REF!)</f>
        <v>#REF!</v>
      </c>
      <c r="B3" s="792"/>
      <c r="C3" s="792"/>
      <c r="D3" s="792"/>
      <c r="E3" s="792"/>
      <c r="F3" s="792"/>
      <c r="G3" s="792"/>
    </row>
    <row r="4" spans="1:7" ht="15.75" customHeight="1">
      <c r="A4" s="115" t="e">
        <f>#REF!&amp;#REF!</f>
        <v>#REF!</v>
      </c>
      <c r="G4" s="156" t="s">
        <v>350</v>
      </c>
    </row>
    <row r="5" spans="1:7" s="284" customFormat="1" ht="15.75" customHeight="1">
      <c r="A5" s="323" t="s">
        <v>351</v>
      </c>
      <c r="B5" s="323" t="s">
        <v>352</v>
      </c>
      <c r="C5" s="323" t="s">
        <v>426</v>
      </c>
      <c r="D5" s="323" t="s">
        <v>315</v>
      </c>
      <c r="E5" s="323" t="s">
        <v>353</v>
      </c>
      <c r="F5" s="324" t="s">
        <v>354</v>
      </c>
      <c r="G5" s="323" t="s">
        <v>355</v>
      </c>
    </row>
    <row r="6" spans="1:7" ht="15.75" customHeight="1">
      <c r="A6" s="127" t="s">
        <v>592</v>
      </c>
      <c r="B6" s="233" t="s">
        <v>101</v>
      </c>
      <c r="C6" s="142">
        <f>长期借款!H27</f>
        <v>0</v>
      </c>
      <c r="D6" s="142">
        <f>长期借款!J27</f>
        <v>0</v>
      </c>
      <c r="E6" s="142">
        <f>长期借款!L27</f>
        <v>0</v>
      </c>
      <c r="F6" s="142">
        <f t="shared" ref="F6:F12" si="0">E6-D6</f>
        <v>0</v>
      </c>
      <c r="G6" s="155" t="str">
        <f t="shared" ref="G6:G12" si="1">IF(D6=0,"",F6/D6*100)</f>
        <v/>
      </c>
    </row>
    <row r="7" spans="1:7" ht="15.75" customHeight="1">
      <c r="A7" s="127" t="s">
        <v>593</v>
      </c>
      <c r="B7" s="233" t="s">
        <v>647</v>
      </c>
      <c r="C7" s="142">
        <f>应付债券!G27</f>
        <v>0</v>
      </c>
      <c r="D7" s="142">
        <f>应付债券!I27</f>
        <v>0</v>
      </c>
      <c r="E7" s="142">
        <f>应付债券!J27</f>
        <v>0</v>
      </c>
      <c r="F7" s="142">
        <f t="shared" si="0"/>
        <v>0</v>
      </c>
      <c r="G7" s="155" t="str">
        <f t="shared" si="1"/>
        <v/>
      </c>
    </row>
    <row r="8" spans="1:7" ht="15.75" customHeight="1">
      <c r="A8" s="127" t="s">
        <v>597</v>
      </c>
      <c r="B8" s="233" t="s">
        <v>102</v>
      </c>
      <c r="C8" s="142">
        <f>长期应付款!G27</f>
        <v>0</v>
      </c>
      <c r="D8" s="142">
        <f>长期应付款!K27</f>
        <v>0</v>
      </c>
      <c r="E8" s="142">
        <f>长期应付款!L27</f>
        <v>0</v>
      </c>
      <c r="F8" s="142">
        <f t="shared" si="0"/>
        <v>0</v>
      </c>
      <c r="G8" s="155" t="str">
        <f t="shared" si="1"/>
        <v/>
      </c>
    </row>
    <row r="9" spans="1:7" ht="15.75" customHeight="1">
      <c r="A9" s="127" t="s">
        <v>800</v>
      </c>
      <c r="B9" s="233" t="s">
        <v>648</v>
      </c>
      <c r="C9" s="142">
        <f>专项应付款!D27</f>
        <v>0</v>
      </c>
      <c r="D9" s="142">
        <f>专项应付款!F27</f>
        <v>0</v>
      </c>
      <c r="E9" s="142">
        <f>专项应付款!G27</f>
        <v>0</v>
      </c>
      <c r="F9" s="142">
        <f t="shared" si="0"/>
        <v>0</v>
      </c>
      <c r="G9" s="155" t="str">
        <f t="shared" si="1"/>
        <v/>
      </c>
    </row>
    <row r="10" spans="1:7" ht="15.75" customHeight="1">
      <c r="A10" s="127" t="s">
        <v>801</v>
      </c>
      <c r="B10" s="233" t="s">
        <v>649</v>
      </c>
      <c r="C10" s="142">
        <f>预计负债!E27</f>
        <v>0</v>
      </c>
      <c r="D10" s="142">
        <f>预计负债!G27</f>
        <v>0</v>
      </c>
      <c r="E10" s="142">
        <f>预计负债!H27</f>
        <v>0</v>
      </c>
      <c r="F10" s="142">
        <f t="shared" si="0"/>
        <v>0</v>
      </c>
      <c r="G10" s="155" t="str">
        <f t="shared" si="1"/>
        <v/>
      </c>
    </row>
    <row r="11" spans="1:7" ht="15.75" customHeight="1">
      <c r="A11" s="127" t="s">
        <v>802</v>
      </c>
      <c r="B11" s="233" t="s">
        <v>650</v>
      </c>
      <c r="C11" s="142">
        <f>递延所得税负债!D27</f>
        <v>0</v>
      </c>
      <c r="D11" s="142">
        <f>递延所得税负债!F27</f>
        <v>0</v>
      </c>
      <c r="E11" s="142">
        <f>递延所得税负债!G27</f>
        <v>0</v>
      </c>
      <c r="F11" s="142">
        <f t="shared" si="0"/>
        <v>0</v>
      </c>
      <c r="G11" s="155" t="str">
        <f t="shared" si="1"/>
        <v/>
      </c>
    </row>
    <row r="12" spans="1:7" ht="15.75" customHeight="1">
      <c r="A12" s="127" t="s">
        <v>803</v>
      </c>
      <c r="B12" s="233" t="s">
        <v>651</v>
      </c>
      <c r="C12" s="142">
        <f>其他非流动负债!E27</f>
        <v>0</v>
      </c>
      <c r="D12" s="142">
        <f>其他非流动负债!G27</f>
        <v>0</v>
      </c>
      <c r="E12" s="142">
        <f>其他非流动负债!H27</f>
        <v>0</v>
      </c>
      <c r="F12" s="142">
        <f t="shared" si="0"/>
        <v>0</v>
      </c>
      <c r="G12" s="155" t="str">
        <f t="shared" si="1"/>
        <v/>
      </c>
    </row>
    <row r="13" spans="1:7" ht="15.75" customHeight="1">
      <c r="A13" s="105"/>
      <c r="B13" s="120"/>
      <c r="C13" s="142"/>
      <c r="D13" s="142"/>
      <c r="E13" s="142"/>
      <c r="F13" s="142"/>
      <c r="G13" s="155"/>
    </row>
    <row r="14" spans="1:7" ht="15.75" customHeight="1">
      <c r="A14" s="105"/>
      <c r="B14" s="120"/>
      <c r="C14" s="142"/>
      <c r="D14" s="142"/>
      <c r="E14" s="142"/>
      <c r="F14" s="142"/>
      <c r="G14" s="155"/>
    </row>
    <row r="15" spans="1:7" ht="15.75" customHeight="1">
      <c r="A15" s="105"/>
      <c r="B15" s="120"/>
      <c r="C15" s="142"/>
      <c r="D15" s="142"/>
      <c r="E15" s="142"/>
      <c r="F15" s="142"/>
      <c r="G15" s="155"/>
    </row>
    <row r="16" spans="1:7" ht="15.75" customHeight="1">
      <c r="A16" s="105"/>
      <c r="B16" s="120"/>
      <c r="C16" s="142"/>
      <c r="D16" s="142"/>
      <c r="E16" s="142"/>
      <c r="F16" s="142"/>
      <c r="G16" s="155"/>
    </row>
    <row r="17" spans="1:7" ht="15.75" customHeight="1">
      <c r="A17" s="105"/>
      <c r="B17" s="120"/>
      <c r="C17" s="142"/>
      <c r="D17" s="142"/>
      <c r="E17" s="142"/>
      <c r="F17" s="142"/>
      <c r="G17" s="155"/>
    </row>
    <row r="18" spans="1:7" ht="15.75" customHeight="1">
      <c r="A18" s="105"/>
      <c r="B18" s="120"/>
      <c r="C18" s="142"/>
      <c r="D18" s="142"/>
      <c r="E18" s="142"/>
      <c r="F18" s="142"/>
      <c r="G18" s="155"/>
    </row>
    <row r="19" spans="1:7" ht="15.75" customHeight="1">
      <c r="A19" s="105"/>
      <c r="B19" s="120"/>
      <c r="C19" s="142"/>
      <c r="D19" s="142"/>
      <c r="E19" s="142"/>
      <c r="F19" s="142"/>
      <c r="G19" s="155"/>
    </row>
    <row r="20" spans="1:7" ht="15.75" customHeight="1">
      <c r="A20" s="105"/>
      <c r="B20" s="120"/>
      <c r="C20" s="142"/>
      <c r="D20" s="142"/>
      <c r="E20" s="142"/>
      <c r="F20" s="142"/>
      <c r="G20" s="155"/>
    </row>
    <row r="21" spans="1:7" ht="15.75" customHeight="1">
      <c r="A21" s="105"/>
      <c r="B21" s="120"/>
      <c r="C21" s="142"/>
      <c r="D21" s="142"/>
      <c r="E21" s="142"/>
      <c r="F21" s="142"/>
      <c r="G21" s="155"/>
    </row>
    <row r="22" spans="1:7" ht="15.75" customHeight="1">
      <c r="A22" s="105"/>
      <c r="B22" s="120"/>
      <c r="C22" s="142"/>
      <c r="D22" s="142"/>
      <c r="E22" s="142"/>
      <c r="F22" s="142"/>
      <c r="G22" s="155"/>
    </row>
    <row r="23" spans="1:7" ht="15.75" customHeight="1">
      <c r="A23" s="105"/>
      <c r="B23" s="120"/>
      <c r="C23" s="142"/>
      <c r="D23" s="142"/>
      <c r="E23" s="142"/>
      <c r="F23" s="142"/>
      <c r="G23" s="155"/>
    </row>
    <row r="24" spans="1:7" ht="15.75" customHeight="1">
      <c r="A24" s="105"/>
      <c r="B24" s="120"/>
      <c r="C24" s="142"/>
      <c r="D24" s="142"/>
      <c r="E24" s="142"/>
      <c r="F24" s="142"/>
      <c r="G24" s="155"/>
    </row>
    <row r="25" spans="1:7" ht="15.75" customHeight="1">
      <c r="A25" s="105"/>
      <c r="B25" s="120"/>
      <c r="C25" s="142"/>
      <c r="D25" s="142"/>
      <c r="E25" s="142"/>
      <c r="F25" s="142"/>
      <c r="G25" s="155"/>
    </row>
    <row r="26" spans="1:7" ht="15.75" customHeight="1">
      <c r="A26" s="127"/>
      <c r="B26" s="154"/>
      <c r="C26" s="142"/>
      <c r="D26" s="142"/>
      <c r="E26" s="142"/>
      <c r="F26" s="142"/>
      <c r="G26" s="155"/>
    </row>
    <row r="27" spans="1:7" ht="15.75" customHeight="1">
      <c r="A27" s="127"/>
      <c r="B27" s="154"/>
      <c r="C27" s="142"/>
      <c r="D27" s="142"/>
      <c r="E27" s="142"/>
      <c r="F27" s="142"/>
      <c r="G27" s="155"/>
    </row>
    <row r="28" spans="1:7" ht="15.75" customHeight="1">
      <c r="A28" s="127" t="s">
        <v>646</v>
      </c>
      <c r="B28" s="105" t="s">
        <v>645</v>
      </c>
      <c r="C28" s="142">
        <f>SUM(C6:C27)</f>
        <v>0</v>
      </c>
      <c r="D28" s="142">
        <f>SUM(D6:D27)</f>
        <v>0</v>
      </c>
      <c r="E28" s="142">
        <f>SUM(E6:E27)</f>
        <v>0</v>
      </c>
      <c r="F28" s="142">
        <f>SUM(F6:F27)</f>
        <v>0</v>
      </c>
      <c r="G28" s="155" t="str">
        <f>IF(D28=0,"",F28/D28*100)</f>
        <v/>
      </c>
    </row>
    <row r="29" spans="1:7" ht="15.75" customHeight="1">
      <c r="A29" s="101" t="e">
        <f>#REF!&amp;#REF!</f>
        <v>#REF!</v>
      </c>
      <c r="E29" s="4" t="e">
        <f>"评估人员："&amp;#REF!</f>
        <v>#REF!</v>
      </c>
    </row>
    <row r="30" spans="1:7" ht="15.75" customHeight="1">
      <c r="A30" s="101" t="e">
        <f>CONCATENATE(#REF!,#REF!,#REF!,#REF!,#REF!,#REF!,#REF!)</f>
        <v>#REF!</v>
      </c>
    </row>
  </sheetData>
  <mergeCells count="2">
    <mergeCell ref="A2:G2"/>
    <mergeCell ref="A3:G3"/>
  </mergeCells>
  <phoneticPr fontId="6" type="noConversion"/>
  <hyperlinks>
    <hyperlink ref="A1" location="索引目录!G20" display="非流动负债"/>
    <hyperlink ref="B1" location="分类汇总!B53" display="五、非流动负债合计"/>
    <hyperlink ref="B6" location="长期借款!B1" display="返回"/>
    <hyperlink ref="B7" location="应付债券!B1" display="返回"/>
    <hyperlink ref="B8" location="长期应付款!B1" display="返回"/>
    <hyperlink ref="B9" location="专项应付款!B1" display="返回"/>
    <hyperlink ref="B10" location="预计负债!B1" display="返回"/>
    <hyperlink ref="B11" location="递延所得税负债!B1" display="返回"/>
    <hyperlink ref="B12" location="其他非流动负债!B1" display="返回"/>
  </hyperlinks>
  <printOptions horizontalCentered="1"/>
  <pageMargins left="0.35433070866141736" right="0.35433070866141736" top="0.78740157480314965" bottom="0.78740157480314965" header="1.03" footer="0.51181102362204722"/>
  <pageSetup paperSize="9" scale="93" fitToHeight="0" orientation="landscape" horizontalDpi="4294967292" r:id="rId1"/>
  <headerFooter alignWithMargins="0">
    <oddHeader>&amp;R&amp;"宋体,常规"&amp;10表&amp;"Times New Roman,常规"6
&amp;"宋体,常规"共&amp;"Times New Roman,常规"&amp;N&amp;"宋体,常规"页第&amp;"Times New Roman,常规"&amp;P&amp;"宋体,常规"页</oddHead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4">
    <pageSetUpPr fitToPage="1"/>
  </sheetPr>
  <dimension ref="A1:M29"/>
  <sheetViews>
    <sheetView workbookViewId="0">
      <selection activeCell="H10" sqref="H10"/>
    </sheetView>
  </sheetViews>
  <sheetFormatPr defaultRowHeight="15.75" customHeight="1" outlineLevelCol="1"/>
  <cols>
    <col min="1" max="1" width="5.5" style="4" customWidth="1"/>
    <col min="2" max="2" width="21.375" style="4" customWidth="1"/>
    <col min="3" max="3" width="11.875" style="4" customWidth="1"/>
    <col min="4" max="4" width="9.625" style="4" customWidth="1"/>
    <col min="5" max="5" width="7.25" style="4" customWidth="1"/>
    <col min="6" max="6" width="6.125" style="4" customWidth="1"/>
    <col min="7" max="7" width="10" style="4" customWidth="1"/>
    <col min="8" max="9" width="13.125" style="4" customWidth="1" outlineLevel="1"/>
    <col min="10" max="10" width="12.5" style="4" customWidth="1"/>
    <col min="11" max="11" width="14.625" style="4" customWidth="1"/>
    <col min="12" max="12" width="12.875" style="4" customWidth="1"/>
    <col min="13" max="13" width="10.625" style="4" customWidth="1"/>
    <col min="14" max="16384" width="9" style="4"/>
  </cols>
  <sheetData>
    <row r="1" spans="1:13" ht="14.25">
      <c r="A1" s="272" t="s">
        <v>130</v>
      </c>
      <c r="B1" s="196" t="s">
        <v>131</v>
      </c>
      <c r="C1" s="1"/>
      <c r="D1" s="1"/>
      <c r="E1" s="1"/>
      <c r="F1" s="1"/>
      <c r="G1" s="1"/>
      <c r="H1" s="1"/>
      <c r="I1" s="1"/>
      <c r="J1" s="1"/>
      <c r="K1" s="1"/>
      <c r="L1" s="1"/>
      <c r="M1" s="1"/>
    </row>
    <row r="2" spans="1:13" s="114" customFormat="1" ht="30" customHeight="1">
      <c r="A2" s="790" t="s">
        <v>849</v>
      </c>
      <c r="B2" s="791"/>
      <c r="C2" s="791"/>
      <c r="D2" s="791"/>
      <c r="E2" s="791"/>
      <c r="F2" s="791"/>
      <c r="G2" s="791"/>
      <c r="H2" s="791"/>
      <c r="I2" s="791"/>
      <c r="J2" s="791"/>
      <c r="K2" s="791"/>
      <c r="L2" s="791"/>
      <c r="M2" s="791"/>
    </row>
    <row r="3" spans="1:13" ht="14.1" customHeight="1">
      <c r="A3" s="792" t="e">
        <f>CONCATENATE(#REF!,#REF!,#REF!,#REF!,#REF!,#REF!,#REF!)</f>
        <v>#REF!</v>
      </c>
      <c r="B3" s="792"/>
      <c r="C3" s="792"/>
      <c r="D3" s="792"/>
      <c r="E3" s="792"/>
      <c r="F3" s="792"/>
      <c r="G3" s="792"/>
      <c r="H3" s="808"/>
      <c r="I3" s="808"/>
      <c r="J3" s="808"/>
      <c r="K3" s="808"/>
      <c r="L3" s="808"/>
      <c r="M3" s="808"/>
    </row>
    <row r="4" spans="1:13" ht="15.75" customHeight="1">
      <c r="A4" s="115" t="e">
        <f>#REF!&amp;#REF!</f>
        <v>#REF!</v>
      </c>
      <c r="M4" s="106" t="s">
        <v>350</v>
      </c>
    </row>
    <row r="5" spans="1:13" s="1" customFormat="1" ht="15.75" customHeight="1">
      <c r="A5" s="2" t="s">
        <v>371</v>
      </c>
      <c r="B5" s="2" t="s">
        <v>384</v>
      </c>
      <c r="C5" s="2" t="s">
        <v>381</v>
      </c>
      <c r="D5" s="2" t="s">
        <v>385</v>
      </c>
      <c r="E5" s="2" t="s">
        <v>232</v>
      </c>
      <c r="F5" s="2" t="s">
        <v>386</v>
      </c>
      <c r="G5" s="2" t="s">
        <v>387</v>
      </c>
      <c r="H5" s="2" t="s">
        <v>426</v>
      </c>
      <c r="I5" s="2" t="s">
        <v>710</v>
      </c>
      <c r="J5" s="2" t="s">
        <v>315</v>
      </c>
      <c r="K5" s="2" t="s">
        <v>388</v>
      </c>
      <c r="L5" s="2" t="s">
        <v>353</v>
      </c>
      <c r="M5" s="2" t="s">
        <v>377</v>
      </c>
    </row>
    <row r="6" spans="1:13" ht="15.75" customHeight="1">
      <c r="A6" s="105"/>
      <c r="B6" s="128"/>
      <c r="C6" s="121"/>
      <c r="D6" s="121"/>
      <c r="E6" s="121"/>
      <c r="F6" s="105"/>
      <c r="G6" s="142"/>
      <c r="H6" s="142"/>
      <c r="I6" s="142"/>
      <c r="J6" s="142"/>
      <c r="K6" s="162"/>
      <c r="L6" s="142"/>
      <c r="M6" s="120"/>
    </row>
    <row r="7" spans="1:13" ht="15.75" customHeight="1">
      <c r="A7" s="105"/>
      <c r="B7" s="128"/>
      <c r="C7" s="121"/>
      <c r="D7" s="121"/>
      <c r="E7" s="105"/>
      <c r="F7" s="105"/>
      <c r="G7" s="142"/>
      <c r="H7" s="142"/>
      <c r="I7" s="142"/>
      <c r="J7" s="142"/>
      <c r="K7" s="162"/>
      <c r="L7" s="142"/>
      <c r="M7" s="120"/>
    </row>
    <row r="8" spans="1:13" ht="15.75" customHeight="1">
      <c r="A8" s="105"/>
      <c r="B8" s="128"/>
      <c r="C8" s="121"/>
      <c r="D8" s="121"/>
      <c r="E8" s="105"/>
      <c r="F8" s="105"/>
      <c r="G8" s="142"/>
      <c r="H8" s="142"/>
      <c r="I8" s="142"/>
      <c r="J8" s="142"/>
      <c r="K8" s="162"/>
      <c r="L8" s="142"/>
      <c r="M8" s="120"/>
    </row>
    <row r="9" spans="1:13" ht="15.75" customHeight="1">
      <c r="A9" s="105"/>
      <c r="B9" s="128"/>
      <c r="C9" s="121"/>
      <c r="D9" s="121"/>
      <c r="E9" s="105"/>
      <c r="F9" s="105"/>
      <c r="G9" s="142"/>
      <c r="H9" s="142"/>
      <c r="I9" s="142"/>
      <c r="J9" s="142"/>
      <c r="K9" s="162"/>
      <c r="L9" s="142"/>
      <c r="M9" s="120"/>
    </row>
    <row r="10" spans="1:13" ht="15.75" customHeight="1">
      <c r="A10" s="105"/>
      <c r="B10" s="128"/>
      <c r="C10" s="121"/>
      <c r="D10" s="121"/>
      <c r="E10" s="105"/>
      <c r="F10" s="105"/>
      <c r="G10" s="142"/>
      <c r="H10" s="142"/>
      <c r="I10" s="142"/>
      <c r="J10" s="142"/>
      <c r="K10" s="162"/>
      <c r="L10" s="142"/>
      <c r="M10" s="120"/>
    </row>
    <row r="11" spans="1:13" ht="15.75" customHeight="1">
      <c r="A11" s="105"/>
      <c r="B11" s="128"/>
      <c r="C11" s="121"/>
      <c r="D11" s="121"/>
      <c r="E11" s="105"/>
      <c r="F11" s="105"/>
      <c r="G11" s="142"/>
      <c r="H11" s="142"/>
      <c r="I11" s="142"/>
      <c r="J11" s="142"/>
      <c r="K11" s="162"/>
      <c r="L11" s="142"/>
      <c r="M11" s="120"/>
    </row>
    <row r="12" spans="1:13" ht="15.75" customHeight="1">
      <c r="A12" s="105"/>
      <c r="B12" s="128"/>
      <c r="C12" s="121"/>
      <c r="D12" s="121"/>
      <c r="E12" s="105"/>
      <c r="F12" s="105"/>
      <c r="G12" s="142"/>
      <c r="H12" s="142"/>
      <c r="I12" s="142"/>
      <c r="J12" s="142"/>
      <c r="K12" s="162"/>
      <c r="L12" s="142"/>
      <c r="M12" s="120"/>
    </row>
    <row r="13" spans="1:13" ht="15.75" customHeight="1">
      <c r="A13" s="105"/>
      <c r="B13" s="128"/>
      <c r="C13" s="121"/>
      <c r="D13" s="121"/>
      <c r="E13" s="105"/>
      <c r="F13" s="105"/>
      <c r="G13" s="142"/>
      <c r="H13" s="142"/>
      <c r="I13" s="142"/>
      <c r="J13" s="142"/>
      <c r="K13" s="162"/>
      <c r="L13" s="142"/>
      <c r="M13" s="120"/>
    </row>
    <row r="14" spans="1:13" ht="15.75" customHeight="1">
      <c r="A14" s="105"/>
      <c r="B14" s="128"/>
      <c r="C14" s="121"/>
      <c r="D14" s="121"/>
      <c r="E14" s="105"/>
      <c r="F14" s="105"/>
      <c r="G14" s="142"/>
      <c r="H14" s="142"/>
      <c r="I14" s="142"/>
      <c r="J14" s="142"/>
      <c r="K14" s="162"/>
      <c r="L14" s="142"/>
      <c r="M14" s="120"/>
    </row>
    <row r="15" spans="1:13" ht="15.75" customHeight="1">
      <c r="A15" s="105"/>
      <c r="B15" s="128"/>
      <c r="C15" s="121"/>
      <c r="D15" s="121"/>
      <c r="E15" s="105"/>
      <c r="F15" s="105"/>
      <c r="G15" s="142"/>
      <c r="H15" s="142"/>
      <c r="I15" s="142"/>
      <c r="J15" s="142"/>
      <c r="K15" s="162"/>
      <c r="L15" s="142"/>
      <c r="M15" s="120"/>
    </row>
    <row r="16" spans="1:13" ht="15.75" customHeight="1">
      <c r="A16" s="105"/>
      <c r="B16" s="128"/>
      <c r="C16" s="121"/>
      <c r="D16" s="121"/>
      <c r="E16" s="105"/>
      <c r="F16" s="105"/>
      <c r="G16" s="142"/>
      <c r="H16" s="142"/>
      <c r="I16" s="142"/>
      <c r="J16" s="142"/>
      <c r="K16" s="162"/>
      <c r="L16" s="142"/>
      <c r="M16" s="120"/>
    </row>
    <row r="17" spans="1:13" ht="15.75" customHeight="1">
      <c r="A17" s="105"/>
      <c r="B17" s="128"/>
      <c r="C17" s="121"/>
      <c r="D17" s="121"/>
      <c r="E17" s="105"/>
      <c r="F17" s="105"/>
      <c r="G17" s="142"/>
      <c r="H17" s="142"/>
      <c r="I17" s="142"/>
      <c r="J17" s="142"/>
      <c r="K17" s="162"/>
      <c r="L17" s="142"/>
      <c r="M17" s="120"/>
    </row>
    <row r="18" spans="1:13" ht="15.75" customHeight="1">
      <c r="A18" s="105"/>
      <c r="B18" s="128"/>
      <c r="C18" s="121"/>
      <c r="D18" s="121"/>
      <c r="E18" s="105"/>
      <c r="F18" s="105"/>
      <c r="G18" s="142"/>
      <c r="H18" s="142"/>
      <c r="I18" s="142"/>
      <c r="J18" s="142"/>
      <c r="K18" s="162"/>
      <c r="L18" s="142"/>
      <c r="M18" s="120"/>
    </row>
    <row r="19" spans="1:13" ht="15.75" customHeight="1">
      <c r="A19" s="105"/>
      <c r="B19" s="128"/>
      <c r="C19" s="121"/>
      <c r="D19" s="121"/>
      <c r="E19" s="105"/>
      <c r="F19" s="105"/>
      <c r="G19" s="142"/>
      <c r="H19" s="142"/>
      <c r="I19" s="142"/>
      <c r="J19" s="142"/>
      <c r="K19" s="162"/>
      <c r="L19" s="142"/>
      <c r="M19" s="120"/>
    </row>
    <row r="20" spans="1:13" ht="15.75" customHeight="1">
      <c r="A20" s="105"/>
      <c r="B20" s="128"/>
      <c r="C20" s="121"/>
      <c r="D20" s="121"/>
      <c r="E20" s="105"/>
      <c r="F20" s="105"/>
      <c r="G20" s="142"/>
      <c r="H20" s="142"/>
      <c r="I20" s="142"/>
      <c r="J20" s="142"/>
      <c r="K20" s="162"/>
      <c r="L20" s="142"/>
      <c r="M20" s="120"/>
    </row>
    <row r="21" spans="1:13" ht="15.75" customHeight="1">
      <c r="A21" s="105"/>
      <c r="B21" s="128"/>
      <c r="C21" s="121"/>
      <c r="D21" s="121"/>
      <c r="E21" s="105"/>
      <c r="F21" s="105"/>
      <c r="G21" s="142"/>
      <c r="H21" s="142"/>
      <c r="I21" s="142"/>
      <c r="J21" s="142"/>
      <c r="K21" s="162"/>
      <c r="L21" s="142"/>
      <c r="M21" s="120"/>
    </row>
    <row r="22" spans="1:13" ht="15.75" customHeight="1">
      <c r="A22" s="105"/>
      <c r="B22" s="128"/>
      <c r="C22" s="121"/>
      <c r="D22" s="121"/>
      <c r="E22" s="105"/>
      <c r="F22" s="105"/>
      <c r="G22" s="142"/>
      <c r="H22" s="142"/>
      <c r="I22" s="142"/>
      <c r="J22" s="142"/>
      <c r="K22" s="162"/>
      <c r="L22" s="142"/>
      <c r="M22" s="120"/>
    </row>
    <row r="23" spans="1:13" ht="15.75" customHeight="1">
      <c r="A23" s="105"/>
      <c r="B23" s="128"/>
      <c r="C23" s="121"/>
      <c r="D23" s="121"/>
      <c r="E23" s="105"/>
      <c r="F23" s="105"/>
      <c r="G23" s="142"/>
      <c r="H23" s="142"/>
      <c r="I23" s="142"/>
      <c r="J23" s="142"/>
      <c r="K23" s="162"/>
      <c r="L23" s="142"/>
      <c r="M23" s="120"/>
    </row>
    <row r="24" spans="1:13" ht="15.75" customHeight="1">
      <c r="A24" s="105"/>
      <c r="B24" s="128"/>
      <c r="C24" s="121"/>
      <c r="D24" s="121"/>
      <c r="E24" s="105"/>
      <c r="F24" s="105"/>
      <c r="G24" s="142"/>
      <c r="H24" s="142"/>
      <c r="I24" s="142"/>
      <c r="J24" s="142"/>
      <c r="K24" s="162"/>
      <c r="L24" s="142"/>
      <c r="M24" s="120"/>
    </row>
    <row r="25" spans="1:13" ht="15.75" customHeight="1">
      <c r="A25" s="105"/>
      <c r="B25" s="128"/>
      <c r="C25" s="121"/>
      <c r="D25" s="121"/>
      <c r="E25" s="105"/>
      <c r="F25" s="105"/>
      <c r="G25" s="142"/>
      <c r="H25" s="142"/>
      <c r="I25" s="142"/>
      <c r="J25" s="142"/>
      <c r="K25" s="162"/>
      <c r="L25" s="142"/>
      <c r="M25" s="120"/>
    </row>
    <row r="26" spans="1:13" ht="15.75" customHeight="1">
      <c r="A26" s="105"/>
      <c r="B26" s="128"/>
      <c r="C26" s="121"/>
      <c r="D26" s="121"/>
      <c r="E26" s="105"/>
      <c r="F26" s="105"/>
      <c r="G26" s="142"/>
      <c r="H26" s="142"/>
      <c r="I26" s="142"/>
      <c r="J26" s="142"/>
      <c r="K26" s="162"/>
      <c r="L26" s="142"/>
      <c r="M26" s="120"/>
    </row>
    <row r="27" spans="1:13" ht="15.75" customHeight="1">
      <c r="A27" s="809" t="s">
        <v>57</v>
      </c>
      <c r="B27" s="810"/>
      <c r="C27" s="121"/>
      <c r="D27" s="121"/>
      <c r="E27" s="105"/>
      <c r="F27" s="105"/>
      <c r="G27" s="142"/>
      <c r="H27" s="142">
        <f>SUM(H6:H26)</f>
        <v>0</v>
      </c>
      <c r="I27" s="142"/>
      <c r="J27" s="142">
        <f>SUM(J6:J26)</f>
        <v>0</v>
      </c>
      <c r="K27" s="162"/>
      <c r="L27" s="142">
        <f>SUM(L6:L26)</f>
        <v>0</v>
      </c>
      <c r="M27" s="120"/>
    </row>
    <row r="28" spans="1:13" ht="15.75" customHeight="1">
      <c r="A28" s="101" t="e">
        <f>#REF!&amp;#REF!</f>
        <v>#REF!</v>
      </c>
      <c r="J28" s="4" t="e">
        <f>"评估人员："&amp;#REF!</f>
        <v>#REF!</v>
      </c>
    </row>
    <row r="29" spans="1:13" ht="15.75" customHeight="1">
      <c r="A29" s="101" t="e">
        <f>CONCATENATE(#REF!,#REF!,#REF!,#REF!,#REF!,#REF!,#REF!)</f>
        <v>#REF!</v>
      </c>
    </row>
  </sheetData>
  <mergeCells count="3">
    <mergeCell ref="A2:M2"/>
    <mergeCell ref="A3:M3"/>
    <mergeCell ref="A27:B27"/>
  </mergeCells>
  <phoneticPr fontId="6" type="noConversion"/>
  <hyperlinks>
    <hyperlink ref="A1" location="索引目录!I20" display="长期借款"/>
    <hyperlink ref="B1" location="'非流动负债汇总 '!B6" display="长期借款"/>
  </hyperlinks>
  <printOptions horizontalCentered="1"/>
  <pageMargins left="0.35433070866141736" right="0.35433070866141736" top="0.78740157480314965" bottom="0.78740157480314965" header="1.05" footer="0.51181102362204722"/>
  <pageSetup paperSize="9" scale="88" fitToHeight="0" orientation="landscape" horizontalDpi="4294967292" r:id="rId1"/>
  <headerFooter alignWithMargins="0">
    <oddHeader>&amp;R&amp;"宋体,常规"&amp;10表&amp;"Times New Roman,常规"6-1
&amp;"宋体,常规"共&amp;"Times New Roman,常规"&amp;N&amp;"宋体,常规"页第&amp;"Times New Roman,常规"&amp;P&amp;"宋体,常规"页</oddHeader>
  </headerFooter>
  <legacy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U29"/>
  <sheetViews>
    <sheetView showGridLines="0" workbookViewId="0">
      <selection activeCell="H10" sqref="H10"/>
    </sheetView>
  </sheetViews>
  <sheetFormatPr defaultColWidth="8.75" defaultRowHeight="12.75" outlineLevelCol="1"/>
  <cols>
    <col min="1" max="1" width="6" style="4" customWidth="1"/>
    <col min="2" max="2" width="23.5" style="4" customWidth="1"/>
    <col min="3" max="3" width="8.5" style="4" customWidth="1"/>
    <col min="4" max="5" width="11.625" style="4" customWidth="1"/>
    <col min="6" max="6" width="11.25" style="4" customWidth="1"/>
    <col min="7" max="8" width="17.25" style="4" customWidth="1" outlineLevel="1"/>
    <col min="9" max="10" width="17.25" style="4" customWidth="1"/>
    <col min="11" max="11" width="15.375" style="4" customWidth="1"/>
    <col min="12" max="16384" width="8.75" style="4"/>
  </cols>
  <sheetData>
    <row r="1" spans="1:11" ht="14.25">
      <c r="A1" s="272" t="s">
        <v>130</v>
      </c>
      <c r="B1" s="196" t="s">
        <v>131</v>
      </c>
      <c r="C1" s="1"/>
      <c r="D1" s="1"/>
      <c r="E1" s="1"/>
      <c r="F1" s="1"/>
      <c r="G1" s="1"/>
      <c r="H1" s="1"/>
      <c r="I1" s="1"/>
      <c r="J1" s="1"/>
      <c r="K1" s="1"/>
    </row>
    <row r="2" spans="1:11" s="114" customFormat="1" ht="21" customHeight="1">
      <c r="A2" s="999" t="s">
        <v>848</v>
      </c>
      <c r="B2" s="828"/>
      <c r="C2" s="828"/>
      <c r="D2" s="828"/>
      <c r="E2" s="828"/>
      <c r="F2" s="828"/>
      <c r="G2" s="828"/>
      <c r="H2" s="828"/>
      <c r="I2" s="828"/>
      <c r="J2" s="828"/>
      <c r="K2" s="828"/>
    </row>
    <row r="3" spans="1:11" ht="14.1" customHeight="1">
      <c r="A3" s="792" t="e">
        <f>CONCATENATE(#REF!,#REF!,#REF!,#REF!,#REF!,#REF!,#REF!)</f>
        <v>#REF!</v>
      </c>
      <c r="B3" s="792"/>
      <c r="C3" s="792"/>
      <c r="D3" s="792"/>
      <c r="E3" s="792"/>
      <c r="F3" s="792"/>
      <c r="G3" s="792"/>
      <c r="H3" s="792"/>
      <c r="I3" s="792"/>
      <c r="J3" s="808"/>
      <c r="K3" s="808"/>
    </row>
    <row r="4" spans="1:11" ht="15.75" customHeight="1">
      <c r="A4" s="115" t="e">
        <f>#REF!&amp;#REF!</f>
        <v>#REF!</v>
      </c>
      <c r="K4" s="106" t="s">
        <v>3</v>
      </c>
    </row>
    <row r="5" spans="1:11" s="321" customFormat="1" ht="15.75" customHeight="1">
      <c r="A5" s="2" t="s">
        <v>4</v>
      </c>
      <c r="B5" s="2" t="s">
        <v>317</v>
      </c>
      <c r="C5" s="2" t="s">
        <v>318</v>
      </c>
      <c r="D5" s="2" t="s">
        <v>314</v>
      </c>
      <c r="E5" s="2" t="s">
        <v>319</v>
      </c>
      <c r="F5" s="2" t="s">
        <v>389</v>
      </c>
      <c r="G5" s="2" t="s">
        <v>426</v>
      </c>
      <c r="H5" s="2" t="s">
        <v>804</v>
      </c>
      <c r="I5" s="2" t="s">
        <v>315</v>
      </c>
      <c r="J5" s="2" t="s">
        <v>316</v>
      </c>
      <c r="K5" s="322" t="s">
        <v>320</v>
      </c>
    </row>
    <row r="6" spans="1:11" ht="15.75" customHeight="1">
      <c r="A6" s="105"/>
      <c r="B6" s="128"/>
      <c r="C6" s="105"/>
      <c r="D6" s="105"/>
      <c r="E6" s="105"/>
      <c r="F6" s="105"/>
      <c r="G6" s="142"/>
      <c r="H6" s="142"/>
      <c r="I6" s="142"/>
      <c r="J6" s="142"/>
      <c r="K6" s="120"/>
    </row>
    <row r="7" spans="1:11" ht="15.75" customHeight="1">
      <c r="A7" s="105"/>
      <c r="B7" s="128"/>
      <c r="C7" s="105"/>
      <c r="D7" s="105"/>
      <c r="E7" s="105"/>
      <c r="F7" s="105"/>
      <c r="G7" s="142"/>
      <c r="H7" s="142"/>
      <c r="I7" s="142"/>
      <c r="J7" s="142"/>
      <c r="K7" s="120"/>
    </row>
    <row r="8" spans="1:11" ht="15.75" customHeight="1">
      <c r="A8" s="105"/>
      <c r="B8" s="128"/>
      <c r="C8" s="105"/>
      <c r="D8" s="105"/>
      <c r="E8" s="105"/>
      <c r="F8" s="105"/>
      <c r="G8" s="142"/>
      <c r="H8" s="142"/>
      <c r="I8" s="142"/>
      <c r="J8" s="142"/>
      <c r="K8" s="120"/>
    </row>
    <row r="9" spans="1:11" ht="15.75" customHeight="1">
      <c r="A9" s="105"/>
      <c r="B9" s="128"/>
      <c r="C9" s="105"/>
      <c r="D9" s="105"/>
      <c r="E9" s="105"/>
      <c r="F9" s="105"/>
      <c r="G9" s="142"/>
      <c r="H9" s="142"/>
      <c r="I9" s="142"/>
      <c r="J9" s="142"/>
      <c r="K9" s="120"/>
    </row>
    <row r="10" spans="1:11" ht="15.75" customHeight="1">
      <c r="A10" s="105"/>
      <c r="B10" s="128"/>
      <c r="C10" s="105"/>
      <c r="D10" s="105"/>
      <c r="E10" s="105"/>
      <c r="F10" s="105"/>
      <c r="G10" s="142"/>
      <c r="H10" s="142"/>
      <c r="I10" s="142"/>
      <c r="J10" s="142"/>
      <c r="K10" s="120"/>
    </row>
    <row r="11" spans="1:11" ht="15.75" customHeight="1">
      <c r="A11" s="105"/>
      <c r="B11" s="128"/>
      <c r="C11" s="105"/>
      <c r="D11" s="105"/>
      <c r="E11" s="105"/>
      <c r="F11" s="105"/>
      <c r="G11" s="142"/>
      <c r="H11" s="142"/>
      <c r="I11" s="142"/>
      <c r="J11" s="142"/>
      <c r="K11" s="120"/>
    </row>
    <row r="12" spans="1:11" ht="15.75" customHeight="1">
      <c r="A12" s="105"/>
      <c r="B12" s="128"/>
      <c r="C12" s="105"/>
      <c r="D12" s="105"/>
      <c r="E12" s="105"/>
      <c r="F12" s="105"/>
      <c r="G12" s="142"/>
      <c r="H12" s="142"/>
      <c r="I12" s="142"/>
      <c r="J12" s="142"/>
      <c r="K12" s="120"/>
    </row>
    <row r="13" spans="1:11" ht="15.75" customHeight="1">
      <c r="A13" s="105"/>
      <c r="B13" s="128"/>
      <c r="C13" s="105"/>
      <c r="D13" s="105"/>
      <c r="E13" s="105"/>
      <c r="F13" s="105"/>
      <c r="G13" s="142"/>
      <c r="H13" s="142"/>
      <c r="I13" s="142"/>
      <c r="J13" s="142"/>
      <c r="K13" s="120"/>
    </row>
    <row r="14" spans="1:11" ht="15.75" customHeight="1">
      <c r="A14" s="105"/>
      <c r="B14" s="128"/>
      <c r="C14" s="105"/>
      <c r="D14" s="105"/>
      <c r="E14" s="105"/>
      <c r="F14" s="105"/>
      <c r="G14" s="142"/>
      <c r="H14" s="142"/>
      <c r="I14" s="142"/>
      <c r="J14" s="142"/>
      <c r="K14" s="120"/>
    </row>
    <row r="15" spans="1:11" ht="15.75" customHeight="1">
      <c r="A15" s="105"/>
      <c r="B15" s="128"/>
      <c r="C15" s="105"/>
      <c r="D15" s="105"/>
      <c r="E15" s="105"/>
      <c r="F15" s="105"/>
      <c r="G15" s="142"/>
      <c r="H15" s="142"/>
      <c r="I15" s="142"/>
      <c r="J15" s="142"/>
      <c r="K15" s="120"/>
    </row>
    <row r="16" spans="1:11" ht="15.75" customHeight="1">
      <c r="A16" s="105"/>
      <c r="B16" s="128"/>
      <c r="C16" s="105"/>
      <c r="D16" s="105"/>
      <c r="E16" s="105"/>
      <c r="F16" s="105"/>
      <c r="G16" s="142"/>
      <c r="H16" s="142"/>
      <c r="I16" s="142"/>
      <c r="J16" s="142"/>
      <c r="K16" s="120"/>
    </row>
    <row r="17" spans="1:21" ht="15.75" customHeight="1">
      <c r="A17" s="105"/>
      <c r="B17" s="128"/>
      <c r="C17" s="105"/>
      <c r="D17" s="105"/>
      <c r="E17" s="105"/>
      <c r="F17" s="105"/>
      <c r="G17" s="142"/>
      <c r="H17" s="142"/>
      <c r="I17" s="142"/>
      <c r="J17" s="142"/>
      <c r="K17" s="120"/>
    </row>
    <row r="18" spans="1:21" ht="15.75" customHeight="1">
      <c r="A18" s="105"/>
      <c r="B18" s="128"/>
      <c r="C18" s="105"/>
      <c r="D18" s="105"/>
      <c r="E18" s="105"/>
      <c r="F18" s="105"/>
      <c r="G18" s="142"/>
      <c r="H18" s="142"/>
      <c r="I18" s="142"/>
      <c r="J18" s="142"/>
      <c r="K18" s="120"/>
    </row>
    <row r="19" spans="1:21" ht="15.75" customHeight="1">
      <c r="A19" s="105"/>
      <c r="B19" s="128"/>
      <c r="C19" s="105"/>
      <c r="D19" s="105"/>
      <c r="E19" s="105"/>
      <c r="F19" s="105"/>
      <c r="G19" s="142"/>
      <c r="H19" s="142"/>
      <c r="I19" s="142"/>
      <c r="J19" s="142"/>
      <c r="K19" s="120"/>
    </row>
    <row r="20" spans="1:21" ht="15.75" customHeight="1">
      <c r="A20" s="105"/>
      <c r="B20" s="128"/>
      <c r="C20" s="105"/>
      <c r="D20" s="105"/>
      <c r="E20" s="105"/>
      <c r="F20" s="105"/>
      <c r="G20" s="142"/>
      <c r="H20" s="142"/>
      <c r="I20" s="142"/>
      <c r="J20" s="142"/>
      <c r="K20" s="120"/>
    </row>
    <row r="21" spans="1:21" ht="15.75" customHeight="1">
      <c r="A21" s="105"/>
      <c r="B21" s="128"/>
      <c r="C21" s="105"/>
      <c r="D21" s="105"/>
      <c r="E21" s="105"/>
      <c r="F21" s="105"/>
      <c r="G21" s="142"/>
      <c r="H21" s="142"/>
      <c r="I21" s="142"/>
      <c r="J21" s="142"/>
      <c r="K21" s="120"/>
    </row>
    <row r="22" spans="1:21" ht="15.75" customHeight="1">
      <c r="A22" s="105"/>
      <c r="B22" s="128"/>
      <c r="C22" s="105"/>
      <c r="D22" s="105"/>
      <c r="E22" s="105"/>
      <c r="F22" s="105"/>
      <c r="G22" s="142"/>
      <c r="H22" s="142"/>
      <c r="I22" s="142"/>
      <c r="J22" s="142"/>
      <c r="K22" s="120"/>
    </row>
    <row r="23" spans="1:21" ht="15.75" customHeight="1">
      <c r="A23" s="105"/>
      <c r="B23" s="128"/>
      <c r="C23" s="105"/>
      <c r="D23" s="105"/>
      <c r="E23" s="105"/>
      <c r="F23" s="105"/>
      <c r="G23" s="142"/>
      <c r="H23" s="142"/>
      <c r="I23" s="142"/>
      <c r="J23" s="142"/>
      <c r="K23" s="120"/>
    </row>
    <row r="24" spans="1:21" ht="15.75" customHeight="1">
      <c r="A24" s="105"/>
      <c r="B24" s="128"/>
      <c r="C24" s="105"/>
      <c r="D24" s="105"/>
      <c r="E24" s="105"/>
      <c r="F24" s="105"/>
      <c r="G24" s="142"/>
      <c r="H24" s="142"/>
      <c r="I24" s="142"/>
      <c r="J24" s="142"/>
      <c r="K24" s="120"/>
    </row>
    <row r="25" spans="1:21" ht="15.75" customHeight="1">
      <c r="A25" s="105"/>
      <c r="B25" s="128"/>
      <c r="C25" s="105"/>
      <c r="D25" s="105"/>
      <c r="E25" s="105"/>
      <c r="F25" s="105"/>
      <c r="G25" s="142"/>
      <c r="H25" s="142"/>
      <c r="I25" s="142"/>
      <c r="J25" s="142"/>
      <c r="K25" s="120"/>
    </row>
    <row r="26" spans="1:21" ht="15.75" customHeight="1">
      <c r="A26" s="105"/>
      <c r="B26" s="128"/>
      <c r="C26" s="105"/>
      <c r="D26" s="105"/>
      <c r="E26" s="105"/>
      <c r="F26" s="105"/>
      <c r="G26" s="142"/>
      <c r="H26" s="142"/>
      <c r="I26" s="142"/>
      <c r="J26" s="142"/>
      <c r="K26" s="120"/>
    </row>
    <row r="27" spans="1:21" ht="15.75" customHeight="1">
      <c r="A27" s="809" t="s">
        <v>57</v>
      </c>
      <c r="B27" s="810"/>
      <c r="C27" s="105"/>
      <c r="D27" s="105"/>
      <c r="E27" s="105"/>
      <c r="F27" s="105"/>
      <c r="G27" s="142">
        <f>SUM(G6:G26)</f>
        <v>0</v>
      </c>
      <c r="H27" s="142"/>
      <c r="I27" s="142">
        <f>SUM(I6:I26)</f>
        <v>0</v>
      </c>
      <c r="J27" s="142">
        <f>SUM(J6:J26)</f>
        <v>0</v>
      </c>
      <c r="K27" s="125"/>
      <c r="L27" s="126"/>
      <c r="M27" s="126"/>
      <c r="N27" s="126"/>
      <c r="O27" s="126"/>
      <c r="P27" s="126"/>
      <c r="Q27" s="126"/>
      <c r="R27" s="126"/>
      <c r="S27" s="126"/>
      <c r="T27" s="126"/>
      <c r="U27" s="126"/>
    </row>
    <row r="28" spans="1:21" ht="15.75" customHeight="1">
      <c r="A28" s="101" t="e">
        <f>#REF!&amp;#REF!</f>
        <v>#REF!</v>
      </c>
      <c r="G28" s="115"/>
      <c r="H28" s="115"/>
      <c r="I28" s="115" t="e">
        <f>"评估人员："&amp;#REF!</f>
        <v>#REF!</v>
      </c>
    </row>
    <row r="29" spans="1:21" ht="15.75" customHeight="1">
      <c r="A29" s="101" t="e">
        <f>CONCATENATE(#REF!,#REF!,#REF!,#REF!,#REF!,#REF!,#REF!)</f>
        <v>#REF!</v>
      </c>
    </row>
  </sheetData>
  <mergeCells count="3">
    <mergeCell ref="A3:K3"/>
    <mergeCell ref="A27:B27"/>
    <mergeCell ref="A2:K2"/>
  </mergeCells>
  <phoneticPr fontId="41" type="noConversion"/>
  <hyperlinks>
    <hyperlink ref="A1" location="索引目录!I21" display="应付债券"/>
    <hyperlink ref="B1" location="'非流动负债汇总 '!B7" display="应付债券"/>
  </hyperlinks>
  <printOptions horizontalCentered="1" gridLinesSet="0"/>
  <pageMargins left="0.35433070866141736" right="0.35433070866141736" top="0.78740157480314965" bottom="0.78740157480314965" header="0.92" footer="0.51181102362204722"/>
  <pageSetup paperSize="9" scale="83" fitToHeight="0" orientation="landscape" horizontalDpi="300" verticalDpi="300" r:id="rId1"/>
  <headerFooter alignWithMargins="0">
    <oddHeader>&amp;R&amp;"宋体,常规"&amp;10表&amp;"Times New Roman,常规"6-2
&amp;"宋体,常规"共&amp;"Times New Roman,常规"&amp;N&amp;"宋体,常规"页第&amp;"Times New Roman,常规"&amp;P&amp;"宋体,常规"页</oddHead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5">
    <pageSetUpPr fitToPage="1"/>
  </sheetPr>
  <dimension ref="A1:M29"/>
  <sheetViews>
    <sheetView workbookViewId="0">
      <selection activeCell="H10" sqref="H10"/>
    </sheetView>
  </sheetViews>
  <sheetFormatPr defaultRowHeight="15.75" customHeight="1" outlineLevelCol="1"/>
  <cols>
    <col min="1" max="1" width="5.125" style="4" customWidth="1"/>
    <col min="2" max="2" width="31.25" style="4" customWidth="1"/>
    <col min="3" max="3" width="8.25" style="4" customWidth="1"/>
    <col min="4" max="4" width="15.875" style="4" customWidth="1"/>
    <col min="5" max="5" width="13.375" style="4" customWidth="1" outlineLevel="1"/>
    <col min="6" max="6" width="14.375" style="4" customWidth="1" outlineLevel="1"/>
    <col min="7" max="8" width="13.125" style="4" customWidth="1" outlineLevel="1"/>
    <col min="9" max="9" width="13.125" style="4" customWidth="1"/>
    <col min="10" max="10" width="14" style="4" customWidth="1"/>
    <col min="11" max="12" width="13.375" style="4" customWidth="1"/>
    <col min="13" max="16384" width="9" style="4"/>
  </cols>
  <sheetData>
    <row r="1" spans="1:13" ht="14.25">
      <c r="A1" s="272" t="s">
        <v>130</v>
      </c>
      <c r="B1" s="196" t="s">
        <v>131</v>
      </c>
      <c r="C1" s="1"/>
      <c r="D1" s="1"/>
      <c r="E1" s="1"/>
      <c r="F1" s="1"/>
      <c r="G1" s="1"/>
      <c r="H1" s="1"/>
      <c r="I1" s="1"/>
      <c r="J1" s="1"/>
      <c r="K1" s="1"/>
      <c r="L1" s="1"/>
      <c r="M1" s="1"/>
    </row>
    <row r="2" spans="1:13" s="114" customFormat="1" ht="30" customHeight="1">
      <c r="A2" s="790" t="s">
        <v>847</v>
      </c>
      <c r="B2" s="791"/>
      <c r="C2" s="791"/>
      <c r="D2" s="791"/>
      <c r="E2" s="791"/>
      <c r="F2" s="791"/>
      <c r="G2" s="791"/>
      <c r="H2" s="791"/>
      <c r="I2" s="791"/>
      <c r="J2" s="791"/>
      <c r="K2" s="791"/>
      <c r="L2" s="791"/>
      <c r="M2" s="791"/>
    </row>
    <row r="3" spans="1:13" ht="14.1" customHeight="1">
      <c r="A3" s="792" t="e">
        <f>CONCATENATE(#REF!,#REF!,#REF!,#REF!,#REF!,#REF!,#REF!)</f>
        <v>#REF!</v>
      </c>
      <c r="B3" s="792"/>
      <c r="C3" s="792"/>
      <c r="D3" s="792"/>
      <c r="E3" s="792"/>
      <c r="F3" s="792"/>
      <c r="G3" s="792"/>
      <c r="H3" s="792"/>
      <c r="I3" s="792"/>
      <c r="J3" s="792"/>
      <c r="K3" s="808"/>
      <c r="L3" s="808"/>
      <c r="M3" s="808"/>
    </row>
    <row r="4" spans="1:13" ht="15.75" customHeight="1">
      <c r="A4" s="115" t="e">
        <f>#REF!&amp;#REF!</f>
        <v>#REF!</v>
      </c>
      <c r="M4" s="106" t="s">
        <v>3</v>
      </c>
    </row>
    <row r="5" spans="1:13" s="1" customFormat="1" ht="15.75" customHeight="1">
      <c r="A5" s="815" t="s">
        <v>4</v>
      </c>
      <c r="B5" s="815" t="s">
        <v>226</v>
      </c>
      <c r="C5" s="815" t="s">
        <v>53</v>
      </c>
      <c r="D5" s="815" t="s">
        <v>52</v>
      </c>
      <c r="E5" s="837" t="s">
        <v>426</v>
      </c>
      <c r="F5" s="837"/>
      <c r="G5" s="837"/>
      <c r="H5" s="819" t="s">
        <v>714</v>
      </c>
      <c r="I5" s="824" t="s">
        <v>315</v>
      </c>
      <c r="J5" s="825"/>
      <c r="K5" s="826"/>
      <c r="L5" s="815" t="s">
        <v>0</v>
      </c>
      <c r="M5" s="815" t="s">
        <v>72</v>
      </c>
    </row>
    <row r="6" spans="1:13" s="116" customFormat="1" ht="15.75" customHeight="1">
      <c r="A6" s="816"/>
      <c r="B6" s="816"/>
      <c r="C6" s="816"/>
      <c r="D6" s="816"/>
      <c r="E6" s="102" t="s">
        <v>227</v>
      </c>
      <c r="F6" s="102" t="s">
        <v>228</v>
      </c>
      <c r="G6" s="102" t="s">
        <v>176</v>
      </c>
      <c r="H6" s="820"/>
      <c r="I6" s="102" t="s">
        <v>227</v>
      </c>
      <c r="J6" s="102" t="s">
        <v>228</v>
      </c>
      <c r="K6" s="102" t="s">
        <v>176</v>
      </c>
      <c r="L6" s="816"/>
      <c r="M6" s="816"/>
    </row>
    <row r="7" spans="1:13" ht="15.75" customHeight="1">
      <c r="A7" s="105"/>
      <c r="B7" s="128"/>
      <c r="C7" s="165"/>
      <c r="D7" s="157"/>
      <c r="E7" s="142"/>
      <c r="F7" s="142"/>
      <c r="G7" s="142"/>
      <c r="H7" s="142"/>
      <c r="I7" s="142"/>
      <c r="J7" s="142"/>
      <c r="K7" s="142"/>
      <c r="L7" s="142"/>
      <c r="M7" s="120"/>
    </row>
    <row r="8" spans="1:13" ht="15.75" customHeight="1">
      <c r="A8" s="105"/>
      <c r="B8" s="128"/>
      <c r="C8" s="165"/>
      <c r="D8" s="157"/>
      <c r="E8" s="142"/>
      <c r="F8" s="142"/>
      <c r="G8" s="142"/>
      <c r="H8" s="142"/>
      <c r="I8" s="142"/>
      <c r="J8" s="142"/>
      <c r="K8" s="142"/>
      <c r="L8" s="142"/>
      <c r="M8" s="120"/>
    </row>
    <row r="9" spans="1:13" ht="15.75" customHeight="1">
      <c r="A9" s="105"/>
      <c r="B9" s="128"/>
      <c r="C9" s="165"/>
      <c r="D9" s="157"/>
      <c r="E9" s="142"/>
      <c r="F9" s="142"/>
      <c r="G9" s="142"/>
      <c r="H9" s="142"/>
      <c r="I9" s="142"/>
      <c r="J9" s="142"/>
      <c r="K9" s="142"/>
      <c r="L9" s="142"/>
      <c r="M9" s="120"/>
    </row>
    <row r="10" spans="1:13" ht="15.75" customHeight="1">
      <c r="A10" s="105"/>
      <c r="B10" s="128"/>
      <c r="C10" s="165"/>
      <c r="D10" s="157"/>
      <c r="E10" s="142"/>
      <c r="F10" s="142"/>
      <c r="G10" s="142"/>
      <c r="H10" s="142"/>
      <c r="I10" s="142"/>
      <c r="J10" s="142"/>
      <c r="K10" s="142"/>
      <c r="L10" s="142"/>
      <c r="M10" s="120"/>
    </row>
    <row r="11" spans="1:13" ht="15.75" customHeight="1">
      <c r="A11" s="105"/>
      <c r="B11" s="128"/>
      <c r="C11" s="165"/>
      <c r="D11" s="157"/>
      <c r="E11" s="142"/>
      <c r="F11" s="142"/>
      <c r="G11" s="142"/>
      <c r="H11" s="142"/>
      <c r="I11" s="142"/>
      <c r="J11" s="142"/>
      <c r="K11" s="142"/>
      <c r="L11" s="142"/>
      <c r="M11" s="120"/>
    </row>
    <row r="12" spans="1:13" ht="15.75" customHeight="1">
      <c r="A12" s="105"/>
      <c r="B12" s="128"/>
      <c r="C12" s="165"/>
      <c r="D12" s="157"/>
      <c r="E12" s="142"/>
      <c r="F12" s="142"/>
      <c r="G12" s="142"/>
      <c r="H12" s="142"/>
      <c r="I12" s="142"/>
      <c r="J12" s="142"/>
      <c r="K12" s="142"/>
      <c r="L12" s="142"/>
      <c r="M12" s="120"/>
    </row>
    <row r="13" spans="1:13" ht="15.75" customHeight="1">
      <c r="A13" s="105"/>
      <c r="B13" s="128"/>
      <c r="C13" s="165"/>
      <c r="D13" s="157"/>
      <c r="E13" s="142"/>
      <c r="F13" s="142"/>
      <c r="G13" s="142"/>
      <c r="H13" s="142"/>
      <c r="I13" s="142"/>
      <c r="J13" s="142"/>
      <c r="K13" s="142"/>
      <c r="L13" s="142"/>
      <c r="M13" s="120"/>
    </row>
    <row r="14" spans="1:13" ht="15.75" customHeight="1">
      <c r="A14" s="105"/>
      <c r="B14" s="128"/>
      <c r="C14" s="165"/>
      <c r="D14" s="157"/>
      <c r="E14" s="142"/>
      <c r="F14" s="142"/>
      <c r="G14" s="142"/>
      <c r="H14" s="142"/>
      <c r="I14" s="142"/>
      <c r="J14" s="142"/>
      <c r="K14" s="142"/>
      <c r="L14" s="142"/>
      <c r="M14" s="120"/>
    </row>
    <row r="15" spans="1:13" ht="15.75" customHeight="1">
      <c r="A15" s="105"/>
      <c r="B15" s="128"/>
      <c r="C15" s="165"/>
      <c r="D15" s="157"/>
      <c r="E15" s="142"/>
      <c r="F15" s="142"/>
      <c r="G15" s="142"/>
      <c r="H15" s="142"/>
      <c r="I15" s="142"/>
      <c r="J15" s="142"/>
      <c r="K15" s="142"/>
      <c r="L15" s="142"/>
      <c r="M15" s="120"/>
    </row>
    <row r="16" spans="1:13" ht="15.75" customHeight="1">
      <c r="A16" s="105"/>
      <c r="B16" s="128"/>
      <c r="C16" s="165"/>
      <c r="D16" s="157"/>
      <c r="E16" s="142"/>
      <c r="F16" s="142"/>
      <c r="G16" s="142"/>
      <c r="H16" s="142"/>
      <c r="I16" s="142"/>
      <c r="J16" s="142"/>
      <c r="K16" s="142"/>
      <c r="L16" s="142"/>
      <c r="M16" s="120"/>
    </row>
    <row r="17" spans="1:13" ht="15.75" customHeight="1">
      <c r="A17" s="105"/>
      <c r="B17" s="128"/>
      <c r="C17" s="165"/>
      <c r="D17" s="157"/>
      <c r="E17" s="142"/>
      <c r="F17" s="142"/>
      <c r="G17" s="142"/>
      <c r="H17" s="142"/>
      <c r="I17" s="142"/>
      <c r="J17" s="142"/>
      <c r="K17" s="142"/>
      <c r="L17" s="142"/>
      <c r="M17" s="120"/>
    </row>
    <row r="18" spans="1:13" ht="15.75" customHeight="1">
      <c r="A18" s="105"/>
      <c r="B18" s="128"/>
      <c r="C18" s="165"/>
      <c r="D18" s="157"/>
      <c r="E18" s="142"/>
      <c r="F18" s="142"/>
      <c r="G18" s="142"/>
      <c r="H18" s="142"/>
      <c r="I18" s="142"/>
      <c r="J18" s="142"/>
      <c r="K18" s="142"/>
      <c r="L18" s="142"/>
      <c r="M18" s="120"/>
    </row>
    <row r="19" spans="1:13" ht="15.75" customHeight="1">
      <c r="A19" s="105"/>
      <c r="B19" s="128"/>
      <c r="C19" s="165"/>
      <c r="D19" s="157"/>
      <c r="E19" s="142"/>
      <c r="F19" s="142"/>
      <c r="G19" s="142"/>
      <c r="H19" s="142"/>
      <c r="I19" s="142"/>
      <c r="J19" s="142"/>
      <c r="K19" s="142"/>
      <c r="L19" s="142"/>
      <c r="M19" s="120"/>
    </row>
    <row r="20" spans="1:13" ht="15.75" customHeight="1">
      <c r="A20" s="105"/>
      <c r="B20" s="128"/>
      <c r="C20" s="165"/>
      <c r="D20" s="157"/>
      <c r="E20" s="142"/>
      <c r="F20" s="142"/>
      <c r="G20" s="142"/>
      <c r="H20" s="142"/>
      <c r="I20" s="142"/>
      <c r="J20" s="142"/>
      <c r="K20" s="142"/>
      <c r="L20" s="142"/>
      <c r="M20" s="120"/>
    </row>
    <row r="21" spans="1:13" ht="15.75" customHeight="1">
      <c r="A21" s="105"/>
      <c r="B21" s="128"/>
      <c r="C21" s="165"/>
      <c r="D21" s="157"/>
      <c r="E21" s="142"/>
      <c r="F21" s="142"/>
      <c r="G21" s="142"/>
      <c r="H21" s="142"/>
      <c r="I21" s="142"/>
      <c r="J21" s="142"/>
      <c r="K21" s="142"/>
      <c r="L21" s="142"/>
      <c r="M21" s="120"/>
    </row>
    <row r="22" spans="1:13" ht="15.75" customHeight="1">
      <c r="A22" s="105"/>
      <c r="B22" s="128"/>
      <c r="C22" s="165"/>
      <c r="D22" s="157"/>
      <c r="E22" s="142"/>
      <c r="F22" s="142"/>
      <c r="G22" s="142"/>
      <c r="H22" s="142"/>
      <c r="I22" s="142"/>
      <c r="J22" s="142"/>
      <c r="K22" s="142"/>
      <c r="L22" s="142"/>
      <c r="M22" s="120"/>
    </row>
    <row r="23" spans="1:13" ht="15.75" customHeight="1">
      <c r="A23" s="105"/>
      <c r="B23" s="128"/>
      <c r="C23" s="165"/>
      <c r="D23" s="157"/>
      <c r="E23" s="142"/>
      <c r="F23" s="142"/>
      <c r="G23" s="142"/>
      <c r="H23" s="142"/>
      <c r="I23" s="142"/>
      <c r="J23" s="142"/>
      <c r="K23" s="142"/>
      <c r="L23" s="142"/>
      <c r="M23" s="120"/>
    </row>
    <row r="24" spans="1:13" ht="15.75" customHeight="1">
      <c r="A24" s="105"/>
      <c r="B24" s="128"/>
      <c r="C24" s="165"/>
      <c r="D24" s="157"/>
      <c r="E24" s="142"/>
      <c r="F24" s="142"/>
      <c r="G24" s="142"/>
      <c r="H24" s="142"/>
      <c r="I24" s="142"/>
      <c r="J24" s="142"/>
      <c r="K24" s="142"/>
      <c r="L24" s="142"/>
      <c r="M24" s="120"/>
    </row>
    <row r="25" spans="1:13" ht="15.75" customHeight="1">
      <c r="A25" s="105"/>
      <c r="B25" s="128"/>
      <c r="C25" s="165"/>
      <c r="D25" s="157"/>
      <c r="E25" s="142"/>
      <c r="F25" s="142"/>
      <c r="G25" s="142"/>
      <c r="H25" s="142"/>
      <c r="I25" s="142"/>
      <c r="J25" s="142"/>
      <c r="K25" s="142"/>
      <c r="L25" s="142"/>
      <c r="M25" s="120"/>
    </row>
    <row r="26" spans="1:13" ht="15.75" customHeight="1">
      <c r="A26" s="105"/>
      <c r="B26" s="128"/>
      <c r="C26" s="165"/>
      <c r="D26" s="157"/>
      <c r="E26" s="142"/>
      <c r="F26" s="142"/>
      <c r="G26" s="142"/>
      <c r="H26" s="142"/>
      <c r="I26" s="142"/>
      <c r="J26" s="142"/>
      <c r="K26" s="142"/>
      <c r="L26" s="142"/>
      <c r="M26" s="120"/>
    </row>
    <row r="27" spans="1:13" ht="15.75" customHeight="1">
      <c r="A27" s="809" t="s">
        <v>229</v>
      </c>
      <c r="B27" s="847"/>
      <c r="C27" s="165"/>
      <c r="D27" s="166"/>
      <c r="E27" s="142"/>
      <c r="F27" s="142"/>
      <c r="G27" s="142">
        <f>SUM(G7:G26)</f>
        <v>0</v>
      </c>
      <c r="H27" s="142"/>
      <c r="I27" s="142"/>
      <c r="J27" s="142"/>
      <c r="K27" s="142">
        <f>SUM(K7:K26)</f>
        <v>0</v>
      </c>
      <c r="L27" s="142">
        <f>SUM(L7:L26)</f>
        <v>0</v>
      </c>
      <c r="M27" s="120"/>
    </row>
    <row r="28" spans="1:13" ht="15.75" customHeight="1">
      <c r="A28" s="101" t="e">
        <f>#REF!&amp;#REF!</f>
        <v>#REF!</v>
      </c>
      <c r="E28" s="115"/>
      <c r="F28" s="115"/>
      <c r="K28" s="115" t="e">
        <f>"评估人员："&amp;#REF!</f>
        <v>#REF!</v>
      </c>
    </row>
    <row r="29" spans="1:13" ht="15.75" customHeight="1">
      <c r="A29" s="101" t="e">
        <f>CONCATENATE(#REF!,#REF!,#REF!,#REF!,#REF!,#REF!,#REF!)</f>
        <v>#REF!</v>
      </c>
    </row>
  </sheetData>
  <mergeCells count="12">
    <mergeCell ref="A27:B27"/>
    <mergeCell ref="E5:G5"/>
    <mergeCell ref="A2:M2"/>
    <mergeCell ref="L5:L6"/>
    <mergeCell ref="A5:A6"/>
    <mergeCell ref="B5:B6"/>
    <mergeCell ref="C5:C6"/>
    <mergeCell ref="A3:M3"/>
    <mergeCell ref="D5:D6"/>
    <mergeCell ref="M5:M6"/>
    <mergeCell ref="H5:H6"/>
    <mergeCell ref="I5:K5"/>
  </mergeCells>
  <phoneticPr fontId="6" type="noConversion"/>
  <hyperlinks>
    <hyperlink ref="A1" location="索引目录!I22" display="长期应付款"/>
    <hyperlink ref="B1" location="'非流动负债汇总 '!B8" display="长期应付款"/>
  </hyperlinks>
  <printOptions horizontalCentered="1"/>
  <pageMargins left="0.35433070866141736" right="0.35433070866141736" top="0.78740157480314965" bottom="0.78740157480314965" header="1.05" footer="0.51181102362204722"/>
  <pageSetup paperSize="9" scale="74" fitToHeight="0" orientation="landscape" horizontalDpi="4294967292" r:id="rId1"/>
  <headerFooter alignWithMargins="0">
    <oddHeader>&amp;R&amp;"宋体,常规"&amp;10表&amp;"Times New Roman,常规"6-3
&amp;"宋体,常规"共&amp;"Times New Roman,常规"&amp;N&amp;"宋体,常规"页第&amp;"Times New Roman,常规"&amp;P&amp;"宋体,常规"页</oddHeader>
  </headerFooter>
  <legacy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pageSetUpPr fitToPage="1"/>
  </sheetPr>
  <dimension ref="A1:H29"/>
  <sheetViews>
    <sheetView showGridLines="0" workbookViewId="0">
      <selection activeCell="H10" sqref="H10"/>
    </sheetView>
  </sheetViews>
  <sheetFormatPr defaultRowHeight="15.75" customHeight="1" outlineLevelCol="1"/>
  <cols>
    <col min="1" max="1" width="6.5" style="4" customWidth="1"/>
    <col min="2" max="2" width="37.5" style="4" customWidth="1"/>
    <col min="3" max="3" width="15.875" style="4" customWidth="1"/>
    <col min="4" max="4" width="16.875" style="4" customWidth="1" outlineLevel="1"/>
    <col min="5" max="5" width="9.75" style="4" customWidth="1" outlineLevel="1"/>
    <col min="6" max="6" width="19.625" style="4" customWidth="1"/>
    <col min="7" max="7" width="20.25" style="4" customWidth="1"/>
    <col min="8" max="8" width="22.25" style="4" customWidth="1"/>
    <col min="9" max="16384" width="9" style="4"/>
  </cols>
  <sheetData>
    <row r="1" spans="1:8" ht="14.25">
      <c r="A1" s="272" t="s">
        <v>130</v>
      </c>
      <c r="B1" s="196" t="s">
        <v>131</v>
      </c>
      <c r="C1" s="1"/>
      <c r="D1" s="1"/>
      <c r="E1" s="1"/>
      <c r="F1" s="1"/>
      <c r="G1" s="1"/>
      <c r="H1" s="1"/>
    </row>
    <row r="2" spans="1:8" s="114" customFormat="1" ht="30" customHeight="1">
      <c r="A2" s="790" t="s">
        <v>846</v>
      </c>
      <c r="B2" s="791"/>
      <c r="C2" s="791"/>
      <c r="D2" s="791"/>
      <c r="E2" s="791"/>
      <c r="F2" s="791"/>
      <c r="G2" s="791"/>
      <c r="H2" s="791"/>
    </row>
    <row r="3" spans="1:8" ht="14.1" customHeight="1">
      <c r="A3" s="792" t="e">
        <f>CONCATENATE(#REF!,#REF!,#REF!,#REF!,#REF!,#REF!,#REF!)</f>
        <v>#REF!</v>
      </c>
      <c r="B3" s="792"/>
      <c r="C3" s="792"/>
      <c r="D3" s="792"/>
      <c r="E3" s="792"/>
      <c r="F3" s="792"/>
      <c r="G3" s="792"/>
      <c r="H3" s="808"/>
    </row>
    <row r="4" spans="1:8" ht="15.75" customHeight="1">
      <c r="A4" s="115" t="e">
        <f>#REF!&amp;#REF!</f>
        <v>#REF!</v>
      </c>
      <c r="H4" s="106" t="s">
        <v>350</v>
      </c>
    </row>
    <row r="5" spans="1:8" s="1" customFormat="1" ht="15.75" customHeight="1">
      <c r="A5" s="2" t="s">
        <v>4</v>
      </c>
      <c r="B5" s="2" t="s">
        <v>390</v>
      </c>
      <c r="C5" s="2" t="s">
        <v>381</v>
      </c>
      <c r="D5" s="2" t="s">
        <v>426</v>
      </c>
      <c r="E5" s="2" t="s">
        <v>710</v>
      </c>
      <c r="F5" s="2" t="s">
        <v>315</v>
      </c>
      <c r="G5" s="2" t="s">
        <v>353</v>
      </c>
      <c r="H5" s="2" t="s">
        <v>391</v>
      </c>
    </row>
    <row r="6" spans="1:8" ht="15.75" customHeight="1">
      <c r="A6" s="105"/>
      <c r="B6" s="128"/>
      <c r="C6" s="121"/>
      <c r="D6" s="142"/>
      <c r="E6" s="142"/>
      <c r="F6" s="142"/>
      <c r="G6" s="142"/>
      <c r="H6" s="120"/>
    </row>
    <row r="7" spans="1:8" ht="15.75" customHeight="1">
      <c r="A7" s="105"/>
      <c r="B7" s="128"/>
      <c r="C7" s="121"/>
      <c r="D7" s="142"/>
      <c r="E7" s="142"/>
      <c r="F7" s="142"/>
      <c r="G7" s="142"/>
      <c r="H7" s="120"/>
    </row>
    <row r="8" spans="1:8" ht="15.75" customHeight="1">
      <c r="A8" s="105"/>
      <c r="B8" s="128"/>
      <c r="C8" s="121"/>
      <c r="D8" s="142"/>
      <c r="E8" s="142"/>
      <c r="F8" s="142"/>
      <c r="G8" s="142"/>
      <c r="H8" s="120"/>
    </row>
    <row r="9" spans="1:8" ht="15.75" customHeight="1">
      <c r="A9" s="105"/>
      <c r="B9" s="128"/>
      <c r="C9" s="121"/>
      <c r="D9" s="142"/>
      <c r="E9" s="142"/>
      <c r="F9" s="142"/>
      <c r="G9" s="142"/>
      <c r="H9" s="120"/>
    </row>
    <row r="10" spans="1:8" ht="15.75" customHeight="1">
      <c r="A10" s="105"/>
      <c r="B10" s="128"/>
      <c r="C10" s="121"/>
      <c r="D10" s="142"/>
      <c r="E10" s="142"/>
      <c r="F10" s="142"/>
      <c r="G10" s="142"/>
      <c r="H10" s="120"/>
    </row>
    <row r="11" spans="1:8" ht="15.75" customHeight="1">
      <c r="A11" s="105"/>
      <c r="B11" s="128"/>
      <c r="C11" s="121"/>
      <c r="D11" s="142"/>
      <c r="E11" s="142"/>
      <c r="F11" s="142"/>
      <c r="G11" s="142"/>
      <c r="H11" s="120"/>
    </row>
    <row r="12" spans="1:8" ht="15.75" customHeight="1">
      <c r="A12" s="105"/>
      <c r="B12" s="128"/>
      <c r="C12" s="121"/>
      <c r="D12" s="142"/>
      <c r="E12" s="142"/>
      <c r="F12" s="142"/>
      <c r="G12" s="142"/>
      <c r="H12" s="120"/>
    </row>
    <row r="13" spans="1:8" ht="15.75" customHeight="1">
      <c r="A13" s="105"/>
      <c r="B13" s="128"/>
      <c r="C13" s="121"/>
      <c r="D13" s="142"/>
      <c r="E13" s="142"/>
      <c r="F13" s="142"/>
      <c r="G13" s="142"/>
      <c r="H13" s="120"/>
    </row>
    <row r="14" spans="1:8" ht="15.75" customHeight="1">
      <c r="A14" s="105"/>
      <c r="B14" s="128"/>
      <c r="C14" s="121"/>
      <c r="D14" s="142"/>
      <c r="E14" s="142"/>
      <c r="F14" s="142"/>
      <c r="G14" s="142"/>
      <c r="H14" s="120"/>
    </row>
    <row r="15" spans="1:8" ht="15.75" customHeight="1">
      <c r="A15" s="105"/>
      <c r="B15" s="128"/>
      <c r="C15" s="121"/>
      <c r="D15" s="142"/>
      <c r="E15" s="142"/>
      <c r="F15" s="142"/>
      <c r="G15" s="142"/>
      <c r="H15" s="120"/>
    </row>
    <row r="16" spans="1:8" ht="15.75" customHeight="1">
      <c r="A16" s="105"/>
      <c r="B16" s="128"/>
      <c r="C16" s="121"/>
      <c r="D16" s="142"/>
      <c r="E16" s="142"/>
      <c r="F16" s="142"/>
      <c r="G16" s="142"/>
      <c r="H16" s="120"/>
    </row>
    <row r="17" spans="1:8" ht="15.75" customHeight="1">
      <c r="A17" s="105"/>
      <c r="B17" s="128"/>
      <c r="C17" s="121"/>
      <c r="D17" s="142"/>
      <c r="E17" s="142"/>
      <c r="F17" s="142"/>
      <c r="G17" s="142"/>
      <c r="H17" s="120"/>
    </row>
    <row r="18" spans="1:8" ht="15.75" customHeight="1">
      <c r="A18" s="105"/>
      <c r="B18" s="128"/>
      <c r="C18" s="121"/>
      <c r="D18" s="142"/>
      <c r="E18" s="142"/>
      <c r="F18" s="142"/>
      <c r="G18" s="142"/>
      <c r="H18" s="120"/>
    </row>
    <row r="19" spans="1:8" ht="15.75" customHeight="1">
      <c r="A19" s="105"/>
      <c r="B19" s="128"/>
      <c r="C19" s="121"/>
      <c r="D19" s="142"/>
      <c r="E19" s="142"/>
      <c r="F19" s="142"/>
      <c r="G19" s="142"/>
      <c r="H19" s="120"/>
    </row>
    <row r="20" spans="1:8" ht="15.75" customHeight="1">
      <c r="A20" s="105"/>
      <c r="B20" s="128"/>
      <c r="C20" s="121"/>
      <c r="D20" s="142"/>
      <c r="E20" s="142"/>
      <c r="F20" s="142"/>
      <c r="G20" s="142"/>
      <c r="H20" s="120"/>
    </row>
    <row r="21" spans="1:8" ht="15.75" customHeight="1">
      <c r="A21" s="105"/>
      <c r="B21" s="128"/>
      <c r="C21" s="121"/>
      <c r="D21" s="142"/>
      <c r="E21" s="142"/>
      <c r="F21" s="142"/>
      <c r="G21" s="142"/>
      <c r="H21" s="120"/>
    </row>
    <row r="22" spans="1:8" ht="15.75" customHeight="1">
      <c r="A22" s="105"/>
      <c r="B22" s="128"/>
      <c r="C22" s="121"/>
      <c r="D22" s="142"/>
      <c r="E22" s="142"/>
      <c r="F22" s="142"/>
      <c r="G22" s="142"/>
      <c r="H22" s="120"/>
    </row>
    <row r="23" spans="1:8" ht="15.75" customHeight="1">
      <c r="A23" s="105"/>
      <c r="B23" s="128"/>
      <c r="C23" s="121"/>
      <c r="D23" s="142"/>
      <c r="E23" s="142"/>
      <c r="F23" s="142"/>
      <c r="G23" s="142"/>
      <c r="H23" s="120"/>
    </row>
    <row r="24" spans="1:8" ht="15.75" customHeight="1">
      <c r="A24" s="105"/>
      <c r="B24" s="128"/>
      <c r="C24" s="121"/>
      <c r="D24" s="142"/>
      <c r="E24" s="142"/>
      <c r="F24" s="142"/>
      <c r="G24" s="142"/>
      <c r="H24" s="120"/>
    </row>
    <row r="25" spans="1:8" ht="15.75" customHeight="1">
      <c r="A25" s="105"/>
      <c r="B25" s="128"/>
      <c r="C25" s="121"/>
      <c r="D25" s="142"/>
      <c r="E25" s="142"/>
      <c r="F25" s="142"/>
      <c r="G25" s="142"/>
      <c r="H25" s="120"/>
    </row>
    <row r="26" spans="1:8" ht="15.75" customHeight="1">
      <c r="A26" s="105"/>
      <c r="B26" s="128"/>
      <c r="C26" s="121"/>
      <c r="D26" s="142"/>
      <c r="E26" s="142"/>
      <c r="F26" s="142"/>
      <c r="G26" s="142"/>
      <c r="H26" s="120"/>
    </row>
    <row r="27" spans="1:8" ht="15.75" customHeight="1">
      <c r="A27" s="809" t="s">
        <v>229</v>
      </c>
      <c r="B27" s="847"/>
      <c r="C27" s="121"/>
      <c r="D27" s="142">
        <f>SUM(D6:D26)</f>
        <v>0</v>
      </c>
      <c r="E27" s="142"/>
      <c r="F27" s="142">
        <f>SUM(F6:F26)</f>
        <v>0</v>
      </c>
      <c r="G27" s="142">
        <f>SUM(G6:G26)</f>
        <v>0</v>
      </c>
      <c r="H27" s="120"/>
    </row>
    <row r="28" spans="1:8" ht="15.75" customHeight="1">
      <c r="A28" s="101" t="e">
        <f>#REF!&amp;#REF!</f>
        <v>#REF!</v>
      </c>
      <c r="F28" s="4" t="e">
        <f>"评估人员："&amp;#REF!</f>
        <v>#REF!</v>
      </c>
    </row>
    <row r="29" spans="1:8" ht="15.75" customHeight="1">
      <c r="A29" s="101" t="e">
        <f>CONCATENATE(#REF!,#REF!,#REF!,#REF!,#REF!,#REF!,#REF!)</f>
        <v>#REF!</v>
      </c>
    </row>
  </sheetData>
  <mergeCells count="3">
    <mergeCell ref="A3:H3"/>
    <mergeCell ref="A27:B27"/>
    <mergeCell ref="A2:H2"/>
  </mergeCells>
  <phoneticPr fontId="6" type="noConversion"/>
  <hyperlinks>
    <hyperlink ref="A1" location="索引目录!I23" display="专项应付款"/>
    <hyperlink ref="B1" location="'非流动负债汇总 '!B9" display="专项应付款"/>
  </hyperlinks>
  <printOptions horizontalCentered="1" gridLinesSet="0"/>
  <pageMargins left="0.35433070866141736" right="0.35433070866141736" top="0.78740157480314965" bottom="0.78740157480314965" header="1.05" footer="0.51181102362204722"/>
  <pageSetup paperSize="9" scale="88" fitToHeight="0" orientation="landscape" horizontalDpi="300" verticalDpi="300" r:id="rId1"/>
  <headerFooter alignWithMargins="0">
    <oddHeader>&amp;R&amp;"宋体,常规"&amp;10表&amp;"Times New Roman,常规"6-4
&amp;"宋体,常规"共&amp;"Times New Roman,常规"&amp;N&amp;"宋体,常规"页第&amp;"Times New Roman,常规"&amp;P&amp;"宋体,常规"页</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pageSetUpPr fitToPage="1"/>
  </sheetPr>
  <dimension ref="A1:I29"/>
  <sheetViews>
    <sheetView workbookViewId="0">
      <selection activeCell="H10" sqref="H10"/>
    </sheetView>
  </sheetViews>
  <sheetFormatPr defaultRowHeight="15.75" customHeight="1" outlineLevelCol="1"/>
  <cols>
    <col min="1" max="1" width="6.25" style="4" customWidth="1"/>
    <col min="2" max="2" width="30.5" style="4" customWidth="1"/>
    <col min="3" max="3" width="18" style="4" customWidth="1"/>
    <col min="4" max="4" width="17.125" style="4" customWidth="1"/>
    <col min="5" max="6" width="17.25" style="4" customWidth="1" outlineLevel="1"/>
    <col min="7" max="7" width="17.25" style="4" customWidth="1"/>
    <col min="8" max="8" width="16.5" style="4" customWidth="1"/>
    <col min="9" max="9" width="15.5" style="4" customWidth="1"/>
    <col min="10" max="16384" width="9" style="4"/>
  </cols>
  <sheetData>
    <row r="1" spans="1:9" ht="14.25">
      <c r="A1" s="272" t="s">
        <v>130</v>
      </c>
      <c r="B1" s="196" t="s">
        <v>131</v>
      </c>
      <c r="C1" s="1"/>
      <c r="D1" s="1"/>
      <c r="E1" s="1"/>
      <c r="F1" s="1"/>
      <c r="G1" s="1"/>
      <c r="H1" s="1"/>
      <c r="I1" s="1"/>
    </row>
    <row r="2" spans="1:9" s="114" customFormat="1" ht="30" customHeight="1">
      <c r="A2" s="790" t="s">
        <v>845</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652</v>
      </c>
    </row>
    <row r="5" spans="1:9" s="1" customFormat="1" ht="15.75" customHeight="1">
      <c r="A5" s="2" t="s">
        <v>653</v>
      </c>
      <c r="B5" s="2" t="s">
        <v>654</v>
      </c>
      <c r="C5" s="2" t="s">
        <v>655</v>
      </c>
      <c r="D5" s="2" t="s">
        <v>656</v>
      </c>
      <c r="E5" s="2" t="s">
        <v>426</v>
      </c>
      <c r="F5" s="2" t="s">
        <v>710</v>
      </c>
      <c r="G5" s="2" t="s">
        <v>315</v>
      </c>
      <c r="H5" s="2" t="s">
        <v>657</v>
      </c>
      <c r="I5" s="2" t="s">
        <v>658</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659</v>
      </c>
      <c r="B27" s="847"/>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24" display="预计负债"/>
    <hyperlink ref="B1" location="'非流动负债汇总 '!B10" display="预计负债"/>
  </hyperlinks>
  <printOptions horizontalCentered="1"/>
  <pageMargins left="0.35433070866141736" right="0.35433070866141736" top="0.78740157480314965" bottom="0.78740157480314965" header="1.05" footer="0.51181102362204722"/>
  <pageSetup paperSize="9" scale="84" fitToHeight="0" orientation="landscape" horizontalDpi="4294967292" r:id="rId1"/>
  <headerFooter alignWithMargins="0">
    <oddHeader>&amp;R&amp;"宋体,常规"&amp;10表&amp;"Times New Roman,常规"6-5
&amp;"宋体,常规"共&amp;"Times New Roman,常规"&amp;N&amp;"宋体,常规"页第&amp;"Times New Roman,常规"&amp;P&amp;"宋体,常规"页</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1:H29"/>
  <sheetViews>
    <sheetView workbookViewId="0">
      <selection activeCell="H10" sqref="H10"/>
    </sheetView>
  </sheetViews>
  <sheetFormatPr defaultRowHeight="15.75" customHeight="1" outlineLevelCol="1"/>
  <cols>
    <col min="1" max="1" width="7.375" style="4" customWidth="1"/>
    <col min="2" max="2" width="34.5" style="4" customWidth="1"/>
    <col min="3" max="3" width="16" style="4" customWidth="1"/>
    <col min="4" max="5" width="17.375" style="4" customWidth="1" outlineLevel="1"/>
    <col min="6" max="6" width="22.375" style="4" customWidth="1"/>
    <col min="7" max="7" width="24.75" style="4" customWidth="1"/>
    <col min="8" max="8" width="17.875" style="4" customWidth="1"/>
    <col min="9" max="16384" width="9" style="4"/>
  </cols>
  <sheetData>
    <row r="1" spans="1:8" ht="14.25">
      <c r="A1" s="272" t="s">
        <v>130</v>
      </c>
      <c r="B1" s="200" t="s">
        <v>131</v>
      </c>
      <c r="C1" s="116"/>
      <c r="D1" s="116"/>
      <c r="E1" s="116"/>
      <c r="F1" s="116"/>
      <c r="G1" s="116"/>
      <c r="H1" s="116"/>
    </row>
    <row r="2" spans="1:8" s="114" customFormat="1" ht="30" customHeight="1">
      <c r="A2" s="790" t="s">
        <v>844</v>
      </c>
      <c r="B2" s="828"/>
      <c r="C2" s="828"/>
      <c r="D2" s="828"/>
      <c r="E2" s="828"/>
      <c r="F2" s="828"/>
      <c r="G2" s="828"/>
      <c r="H2" s="828"/>
    </row>
    <row r="3" spans="1:8" ht="14.1" customHeight="1">
      <c r="A3" s="792" t="e">
        <f>CONCATENATE(#REF!,#REF!,#REF!,#REF!,#REF!,#REF!,#REF!)</f>
        <v>#REF!</v>
      </c>
      <c r="B3" s="792"/>
      <c r="C3" s="792"/>
      <c r="D3" s="792"/>
      <c r="E3" s="792"/>
      <c r="F3" s="792"/>
      <c r="G3" s="792"/>
      <c r="H3" s="792"/>
    </row>
    <row r="4" spans="1:8" ht="15.75" customHeight="1">
      <c r="A4" s="115" t="e">
        <f>#REF!&amp;#REF!</f>
        <v>#REF!</v>
      </c>
      <c r="H4" s="106" t="s">
        <v>350</v>
      </c>
    </row>
    <row r="5" spans="1:8" s="1" customFormat="1" ht="15.75" customHeight="1">
      <c r="A5" s="2" t="s">
        <v>371</v>
      </c>
      <c r="B5" s="2" t="s">
        <v>392</v>
      </c>
      <c r="C5" s="2" t="s">
        <v>381</v>
      </c>
      <c r="D5" s="2" t="s">
        <v>426</v>
      </c>
      <c r="E5" s="2" t="s">
        <v>710</v>
      </c>
      <c r="F5" s="2" t="s">
        <v>315</v>
      </c>
      <c r="G5" s="2" t="s">
        <v>353</v>
      </c>
      <c r="H5" s="2" t="s">
        <v>377</v>
      </c>
    </row>
    <row r="6" spans="1:8" ht="15.75" customHeight="1">
      <c r="A6" s="105"/>
      <c r="B6" s="128"/>
      <c r="C6" s="121"/>
      <c r="D6" s="163"/>
      <c r="E6" s="163"/>
      <c r="F6" s="163"/>
      <c r="G6" s="163"/>
      <c r="H6" s="120"/>
    </row>
    <row r="7" spans="1:8" ht="15.75" customHeight="1">
      <c r="A7" s="105"/>
      <c r="B7" s="128"/>
      <c r="C7" s="121"/>
      <c r="D7" s="163"/>
      <c r="E7" s="163"/>
      <c r="F7" s="163"/>
      <c r="G7" s="163"/>
      <c r="H7" s="120"/>
    </row>
    <row r="8" spans="1:8" ht="15.75" customHeight="1">
      <c r="A8" s="105"/>
      <c r="B8" s="128"/>
      <c r="C8" s="121"/>
      <c r="D8" s="163"/>
      <c r="E8" s="163"/>
      <c r="F8" s="163"/>
      <c r="G8" s="163"/>
      <c r="H8" s="120"/>
    </row>
    <row r="9" spans="1:8" ht="15.75" customHeight="1">
      <c r="A9" s="105"/>
      <c r="B9" s="128"/>
      <c r="C9" s="121"/>
      <c r="D9" s="163"/>
      <c r="E9" s="163"/>
      <c r="F9" s="163"/>
      <c r="G9" s="163"/>
      <c r="H9" s="120"/>
    </row>
    <row r="10" spans="1:8" ht="15.75" customHeight="1">
      <c r="A10" s="105"/>
      <c r="B10" s="128"/>
      <c r="C10" s="121"/>
      <c r="D10" s="163"/>
      <c r="E10" s="163"/>
      <c r="F10" s="163"/>
      <c r="G10" s="163"/>
      <c r="H10" s="120"/>
    </row>
    <row r="11" spans="1:8" ht="15.75" customHeight="1">
      <c r="A11" s="105"/>
      <c r="B11" s="128"/>
      <c r="C11" s="121"/>
      <c r="D11" s="163"/>
      <c r="E11" s="163"/>
      <c r="F11" s="163"/>
      <c r="G11" s="163"/>
      <c r="H11" s="120"/>
    </row>
    <row r="12" spans="1:8" ht="15.75" customHeight="1">
      <c r="A12" s="105"/>
      <c r="B12" s="128"/>
      <c r="C12" s="121"/>
      <c r="D12" s="163"/>
      <c r="E12" s="163"/>
      <c r="F12" s="163"/>
      <c r="G12" s="163"/>
      <c r="H12" s="120"/>
    </row>
    <row r="13" spans="1:8" ht="15.75" customHeight="1">
      <c r="A13" s="105"/>
      <c r="B13" s="128"/>
      <c r="C13" s="121"/>
      <c r="D13" s="163"/>
      <c r="E13" s="163"/>
      <c r="F13" s="163"/>
      <c r="G13" s="163"/>
      <c r="H13" s="120"/>
    </row>
    <row r="14" spans="1:8" ht="15.75" customHeight="1">
      <c r="A14" s="105"/>
      <c r="B14" s="128"/>
      <c r="C14" s="121"/>
      <c r="D14" s="163"/>
      <c r="E14" s="163"/>
      <c r="F14" s="163"/>
      <c r="G14" s="163"/>
      <c r="H14" s="120"/>
    </row>
    <row r="15" spans="1:8" ht="15.75" customHeight="1">
      <c r="A15" s="105"/>
      <c r="B15" s="128"/>
      <c r="C15" s="121"/>
      <c r="D15" s="163"/>
      <c r="E15" s="163"/>
      <c r="F15" s="163"/>
      <c r="G15" s="163"/>
      <c r="H15" s="120"/>
    </row>
    <row r="16" spans="1:8" ht="15.75" customHeight="1">
      <c r="A16" s="105"/>
      <c r="B16" s="128"/>
      <c r="C16" s="121"/>
      <c r="D16" s="163"/>
      <c r="E16" s="163"/>
      <c r="F16" s="163"/>
      <c r="G16" s="163"/>
      <c r="H16" s="120"/>
    </row>
    <row r="17" spans="1:8" ht="15.75" customHeight="1">
      <c r="A17" s="105"/>
      <c r="B17" s="128"/>
      <c r="C17" s="121"/>
      <c r="D17" s="163"/>
      <c r="E17" s="163"/>
      <c r="F17" s="163"/>
      <c r="G17" s="163"/>
      <c r="H17" s="120"/>
    </row>
    <row r="18" spans="1:8" ht="15.75" customHeight="1">
      <c r="A18" s="105"/>
      <c r="B18" s="128"/>
      <c r="C18" s="121"/>
      <c r="D18" s="163"/>
      <c r="E18" s="163"/>
      <c r="F18" s="163"/>
      <c r="G18" s="163"/>
      <c r="H18" s="120"/>
    </row>
    <row r="19" spans="1:8" ht="15.75" customHeight="1">
      <c r="A19" s="105"/>
      <c r="B19" s="128"/>
      <c r="C19" s="121"/>
      <c r="D19" s="163"/>
      <c r="E19" s="163"/>
      <c r="F19" s="163"/>
      <c r="G19" s="163"/>
      <c r="H19" s="120"/>
    </row>
    <row r="20" spans="1:8" ht="15.75" customHeight="1">
      <c r="A20" s="105"/>
      <c r="B20" s="128"/>
      <c r="C20" s="121"/>
      <c r="D20" s="163"/>
      <c r="E20" s="163"/>
      <c r="F20" s="163"/>
      <c r="G20" s="163"/>
      <c r="H20" s="120"/>
    </row>
    <row r="21" spans="1:8" ht="15.75" customHeight="1">
      <c r="A21" s="105"/>
      <c r="B21" s="128"/>
      <c r="C21" s="121"/>
      <c r="D21" s="163"/>
      <c r="E21" s="163"/>
      <c r="F21" s="163"/>
      <c r="G21" s="163"/>
      <c r="H21" s="120"/>
    </row>
    <row r="22" spans="1:8" ht="15.75" customHeight="1">
      <c r="A22" s="105"/>
      <c r="B22" s="128"/>
      <c r="C22" s="121"/>
      <c r="D22" s="163"/>
      <c r="E22" s="163"/>
      <c r="F22" s="163"/>
      <c r="G22" s="163"/>
      <c r="H22" s="120"/>
    </row>
    <row r="23" spans="1:8" ht="15.75" customHeight="1">
      <c r="A23" s="105"/>
      <c r="B23" s="128"/>
      <c r="C23" s="121"/>
      <c r="D23" s="163"/>
      <c r="E23" s="163"/>
      <c r="F23" s="163"/>
      <c r="G23" s="163"/>
      <c r="H23" s="120"/>
    </row>
    <row r="24" spans="1:8" ht="15.75" customHeight="1">
      <c r="A24" s="105"/>
      <c r="B24" s="128"/>
      <c r="C24" s="121"/>
      <c r="D24" s="163"/>
      <c r="E24" s="163"/>
      <c r="F24" s="163"/>
      <c r="G24" s="163"/>
      <c r="H24" s="120"/>
    </row>
    <row r="25" spans="1:8" ht="15.75" customHeight="1">
      <c r="A25" s="105"/>
      <c r="B25" s="128"/>
      <c r="C25" s="121"/>
      <c r="D25" s="163"/>
      <c r="E25" s="163"/>
      <c r="F25" s="163"/>
      <c r="G25" s="163"/>
      <c r="H25" s="120"/>
    </row>
    <row r="26" spans="1:8" ht="15.75" customHeight="1">
      <c r="A26" s="105"/>
      <c r="B26" s="128"/>
      <c r="C26" s="121"/>
      <c r="D26" s="163"/>
      <c r="E26" s="163"/>
      <c r="F26" s="163"/>
      <c r="G26" s="163"/>
      <c r="H26" s="120"/>
    </row>
    <row r="27" spans="1:8" ht="15.75" customHeight="1">
      <c r="A27" s="809" t="s">
        <v>229</v>
      </c>
      <c r="B27" s="847"/>
      <c r="C27" s="121"/>
      <c r="D27" s="163">
        <f>SUM(D6:D26)</f>
        <v>0</v>
      </c>
      <c r="E27" s="163"/>
      <c r="F27" s="163">
        <f>SUM(F6:F26)</f>
        <v>0</v>
      </c>
      <c r="G27" s="163">
        <f>SUM(G6:G26)</f>
        <v>0</v>
      </c>
      <c r="H27" s="120"/>
    </row>
    <row r="28" spans="1:8" ht="15.75" customHeight="1">
      <c r="A28" s="101" t="e">
        <f>#REF!&amp;#REF!</f>
        <v>#REF!</v>
      </c>
      <c r="F28" s="4" t="e">
        <f>"评估人员："&amp;#REF!</f>
        <v>#REF!</v>
      </c>
    </row>
    <row r="29" spans="1:8" ht="15.75" customHeight="1">
      <c r="A29" s="101" t="e">
        <f>CONCATENATE(#REF!,#REF!,#REF!,#REF!,#REF!,#REF!,#REF!)</f>
        <v>#REF!</v>
      </c>
    </row>
  </sheetData>
  <mergeCells count="3">
    <mergeCell ref="A2:H2"/>
    <mergeCell ref="A3:H3"/>
    <mergeCell ref="A27:B27"/>
  </mergeCells>
  <phoneticPr fontId="6" type="noConversion"/>
  <hyperlinks>
    <hyperlink ref="A1" location="索引目录!I25" display="递延所得税负债"/>
    <hyperlink ref="B1" location="'非流动负债汇总 '!B11" display="递延所得税负债"/>
  </hyperlinks>
  <printOptions horizontalCentered="1"/>
  <pageMargins left="0.35433070866141736" right="0.35433070866141736" top="0.78740157480314965" bottom="0.78740157480314965" header="1.02" footer="0.51181102362204722"/>
  <pageSetup paperSize="9" scale="83" fitToHeight="0" orientation="landscape" horizontalDpi="4294967292" r:id="rId1"/>
  <headerFooter alignWithMargins="0">
    <oddHeader>&amp;R&amp;"宋体,常规"&amp;10表&amp;"Times New Roman,常规"6-6
&amp;"宋体,常规"共&amp;"Times New Roman,常规"&amp;N&amp;"宋体,常规"页第&amp;"Times New Roman,常规"&amp;P&amp;"宋体,常规"页</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indexed="10"/>
    <pageSetUpPr fitToPage="1"/>
  </sheetPr>
  <dimension ref="A1:I29"/>
  <sheetViews>
    <sheetView zoomScale="85" workbookViewId="0">
      <selection activeCell="H10" sqref="H10"/>
    </sheetView>
  </sheetViews>
  <sheetFormatPr defaultRowHeight="15.75" customHeight="1" outlineLevelCol="1"/>
  <cols>
    <col min="1" max="1" width="7.75" style="4" customWidth="1"/>
    <col min="2" max="2" width="13.875" style="4" customWidth="1"/>
    <col min="3" max="3" width="6.875" style="4" customWidth="1"/>
    <col min="4" max="4" width="7.5" style="4" customWidth="1"/>
    <col min="5" max="5" width="19.125" style="4" customWidth="1" outlineLevel="1"/>
    <col min="6" max="9" width="21.625" style="4" customWidth="1"/>
    <col min="10" max="16384" width="9" style="4"/>
  </cols>
  <sheetData>
    <row r="1" spans="1:9" ht="12" customHeight="1">
      <c r="A1" s="195" t="s">
        <v>130</v>
      </c>
      <c r="B1" s="196" t="s">
        <v>132</v>
      </c>
      <c r="C1" s="196"/>
      <c r="D1" s="196"/>
      <c r="E1" s="1"/>
      <c r="F1" s="1"/>
      <c r="G1" s="1"/>
      <c r="H1" s="1"/>
      <c r="I1" s="1"/>
    </row>
    <row r="2" spans="1:9" s="114" customFormat="1" ht="30" customHeight="1">
      <c r="A2" s="790" t="s">
        <v>842</v>
      </c>
      <c r="B2" s="791"/>
      <c r="C2" s="791"/>
      <c r="D2" s="791"/>
      <c r="E2" s="791"/>
      <c r="F2" s="791"/>
      <c r="G2" s="791"/>
      <c r="H2" s="791"/>
      <c r="I2" s="791"/>
    </row>
    <row r="3" spans="1:9" ht="14.1" customHeight="1">
      <c r="A3" s="792" t="e">
        <f>CONCATENATE(#REF!,#REF!,#REF!,#REF!,#REF!,#REF!,#REF!)</f>
        <v>#REF!</v>
      </c>
      <c r="B3" s="792"/>
      <c r="C3" s="792"/>
      <c r="D3" s="792"/>
      <c r="E3" s="792"/>
      <c r="F3" s="792"/>
      <c r="G3" s="792"/>
      <c r="H3" s="792"/>
      <c r="I3" s="792"/>
    </row>
    <row r="4" spans="1:9" s="3" customFormat="1" ht="15.75" customHeight="1">
      <c r="A4" s="148" t="e">
        <f>#REF!&amp;#REF!</f>
        <v>#REF!</v>
      </c>
      <c r="I4" s="149" t="s">
        <v>3</v>
      </c>
    </row>
    <row r="5" spans="1:9" s="1" customFormat="1" ht="15.75" customHeight="1">
      <c r="A5" s="320" t="s">
        <v>235</v>
      </c>
      <c r="B5" s="799" t="s">
        <v>2</v>
      </c>
      <c r="C5" s="800"/>
      <c r="D5" s="801"/>
      <c r="E5" s="320" t="s">
        <v>426</v>
      </c>
      <c r="F5" s="320" t="s">
        <v>315</v>
      </c>
      <c r="G5" s="320" t="s">
        <v>0</v>
      </c>
      <c r="H5" s="320" t="s">
        <v>19</v>
      </c>
      <c r="I5" s="320" t="s">
        <v>20</v>
      </c>
    </row>
    <row r="6" spans="1:9" ht="15.75" customHeight="1">
      <c r="A6" s="150" t="s">
        <v>21</v>
      </c>
      <c r="B6" s="146" t="s">
        <v>809</v>
      </c>
      <c r="C6" s="152" t="s">
        <v>335</v>
      </c>
      <c r="D6" s="147" t="s">
        <v>336</v>
      </c>
      <c r="E6" s="143">
        <f>SUM(现金!F27,银行存款!G27,其他货币资金!G27)</f>
        <v>0</v>
      </c>
      <c r="F6" s="143">
        <f>SUM(现金!H27,银行存款!I27,其他货币资金!I27)</f>
        <v>0</v>
      </c>
      <c r="G6" s="143">
        <f>SUM(现金!I27,银行存款!J27,其他货币资金!J27)</f>
        <v>0</v>
      </c>
      <c r="H6" s="142">
        <f>G6-F6</f>
        <v>0</v>
      </c>
      <c r="I6" s="142" t="str">
        <f>IF(F6=0,"",H6/F6*100)</f>
        <v/>
      </c>
    </row>
    <row r="7" spans="1:9" ht="15.75" customHeight="1">
      <c r="A7" s="150" t="s">
        <v>22</v>
      </c>
      <c r="B7" s="796" t="s">
        <v>428</v>
      </c>
      <c r="C7" s="797"/>
      <c r="D7" s="798"/>
      <c r="E7" s="143">
        <f>交易性金融资产汇总!C27</f>
        <v>0</v>
      </c>
      <c r="F7" s="143">
        <f>交易性金融资产汇总!D27</f>
        <v>0</v>
      </c>
      <c r="G7" s="143">
        <f>交易性金融资产汇总!E27</f>
        <v>0</v>
      </c>
      <c r="H7" s="142">
        <f t="shared" ref="H7:H16" si="0">G7-F7</f>
        <v>0</v>
      </c>
      <c r="I7" s="142" t="str">
        <f t="shared" ref="I7:I25" si="1">IF(F7=0,"",H7/F7*100)</f>
        <v/>
      </c>
    </row>
    <row r="8" spans="1:9" ht="15.75" customHeight="1">
      <c r="A8" s="150" t="s">
        <v>23</v>
      </c>
      <c r="B8" s="796" t="s">
        <v>94</v>
      </c>
      <c r="C8" s="797"/>
      <c r="D8" s="798"/>
      <c r="E8" s="143">
        <f>应收票据!G27</f>
        <v>0</v>
      </c>
      <c r="F8" s="143">
        <f>应收票据!I27</f>
        <v>0</v>
      </c>
      <c r="G8" s="143">
        <f>应收票据!J27</f>
        <v>0</v>
      </c>
      <c r="H8" s="142">
        <f t="shared" si="0"/>
        <v>0</v>
      </c>
      <c r="I8" s="142" t="str">
        <f>IF(F8=0,"",H8/F8*100)</f>
        <v/>
      </c>
    </row>
    <row r="9" spans="1:9" ht="15.75" customHeight="1">
      <c r="A9" s="150" t="s">
        <v>24</v>
      </c>
      <c r="B9" s="796" t="s">
        <v>692</v>
      </c>
      <c r="C9" s="797"/>
      <c r="D9" s="798"/>
      <c r="E9" s="143">
        <f>应收账款!F27</f>
        <v>0</v>
      </c>
      <c r="F9" s="143">
        <f>应收账款!P27</f>
        <v>0</v>
      </c>
      <c r="G9" s="143">
        <f>应收账款!Q27</f>
        <v>0</v>
      </c>
      <c r="H9" s="142">
        <f t="shared" si="0"/>
        <v>0</v>
      </c>
      <c r="I9" s="142" t="str">
        <f t="shared" si="1"/>
        <v/>
      </c>
    </row>
    <row r="10" spans="1:9" ht="15.75" customHeight="1">
      <c r="A10" s="150" t="s">
        <v>25</v>
      </c>
      <c r="B10" s="796" t="s">
        <v>520</v>
      </c>
      <c r="C10" s="797"/>
      <c r="D10" s="798"/>
      <c r="E10" s="143">
        <f>预付账款!F27</f>
        <v>0</v>
      </c>
      <c r="F10" s="143">
        <f>预付账款!I27</f>
        <v>0</v>
      </c>
      <c r="G10" s="143">
        <f>预付账款!J27</f>
        <v>0</v>
      </c>
      <c r="H10" s="144">
        <f t="shared" si="0"/>
        <v>0</v>
      </c>
      <c r="I10" s="142" t="str">
        <f t="shared" si="1"/>
        <v/>
      </c>
    </row>
    <row r="11" spans="1:9" ht="15.75" customHeight="1">
      <c r="A11" s="150" t="s">
        <v>26</v>
      </c>
      <c r="B11" s="796" t="s">
        <v>693</v>
      </c>
      <c r="C11" s="797"/>
      <c r="D11" s="798"/>
      <c r="E11" s="143">
        <f>应收利息!G27</f>
        <v>0</v>
      </c>
      <c r="F11" s="143">
        <f>应收利息!I27</f>
        <v>0</v>
      </c>
      <c r="G11" s="143">
        <f>应收利息!J27</f>
        <v>0</v>
      </c>
      <c r="H11" s="142">
        <f t="shared" si="0"/>
        <v>0</v>
      </c>
      <c r="I11" s="142" t="str">
        <f t="shared" si="1"/>
        <v/>
      </c>
    </row>
    <row r="12" spans="1:9" ht="15.75" customHeight="1">
      <c r="A12" s="150" t="s">
        <v>27</v>
      </c>
      <c r="B12" s="796" t="s">
        <v>506</v>
      </c>
      <c r="C12" s="797"/>
      <c r="D12" s="798"/>
      <c r="E12" s="143">
        <f>'应收股利（利润）'!E27</f>
        <v>0</v>
      </c>
      <c r="F12" s="143">
        <f>'应收股利（利润）'!G27</f>
        <v>0</v>
      </c>
      <c r="G12" s="143">
        <f>'应收股利（利润）'!H27</f>
        <v>0</v>
      </c>
      <c r="H12" s="142">
        <f t="shared" si="0"/>
        <v>0</v>
      </c>
      <c r="I12" s="142" t="str">
        <f t="shared" si="1"/>
        <v/>
      </c>
    </row>
    <row r="13" spans="1:9" ht="15.75" customHeight="1">
      <c r="A13" s="150" t="s">
        <v>28</v>
      </c>
      <c r="B13" s="796" t="s">
        <v>9</v>
      </c>
      <c r="C13" s="797"/>
      <c r="D13" s="798"/>
      <c r="E13" s="143">
        <f>其他应收款!F27</f>
        <v>0</v>
      </c>
      <c r="F13" s="143">
        <f>其他应收款!P27</f>
        <v>0</v>
      </c>
      <c r="G13" s="143">
        <f>其他应收款!Q27</f>
        <v>0</v>
      </c>
      <c r="H13" s="142">
        <f t="shared" si="0"/>
        <v>0</v>
      </c>
      <c r="I13" s="142" t="str">
        <f t="shared" si="1"/>
        <v/>
      </c>
    </row>
    <row r="14" spans="1:9" ht="15.75" customHeight="1">
      <c r="A14" s="150" t="s">
        <v>29</v>
      </c>
      <c r="B14" s="796" t="s">
        <v>694</v>
      </c>
      <c r="C14" s="797"/>
      <c r="D14" s="798"/>
      <c r="E14" s="143">
        <f>存货汇总!C27</f>
        <v>0</v>
      </c>
      <c r="F14" s="143">
        <f>存货汇总!D27</f>
        <v>0</v>
      </c>
      <c r="G14" s="143">
        <f>存货汇总!E27</f>
        <v>0</v>
      </c>
      <c r="H14" s="142">
        <f t="shared" si="0"/>
        <v>0</v>
      </c>
      <c r="I14" s="142" t="str">
        <f t="shared" si="1"/>
        <v/>
      </c>
    </row>
    <row r="15" spans="1:9" ht="15.75" customHeight="1">
      <c r="A15" s="150" t="s">
        <v>30</v>
      </c>
      <c r="B15" s="796" t="s">
        <v>695</v>
      </c>
      <c r="C15" s="797"/>
      <c r="D15" s="798"/>
      <c r="E15" s="143">
        <f>一年到期非流动资产!E27</f>
        <v>0</v>
      </c>
      <c r="F15" s="143">
        <f>一年到期非流动资产!G27</f>
        <v>0</v>
      </c>
      <c r="G15" s="143">
        <f>一年到期非流动资产!H27</f>
        <v>0</v>
      </c>
      <c r="H15" s="142">
        <f t="shared" si="0"/>
        <v>0</v>
      </c>
      <c r="I15" s="142" t="str">
        <f t="shared" si="1"/>
        <v/>
      </c>
    </row>
    <row r="16" spans="1:9" ht="15.75" customHeight="1">
      <c r="A16" s="150" t="s">
        <v>31</v>
      </c>
      <c r="B16" s="796" t="s">
        <v>696</v>
      </c>
      <c r="C16" s="797"/>
      <c r="D16" s="798"/>
      <c r="E16" s="143">
        <f>其他流动资产!E27</f>
        <v>0</v>
      </c>
      <c r="F16" s="143">
        <f>其他流动资产!G27</f>
        <v>0</v>
      </c>
      <c r="G16" s="143">
        <f>其他流动资产!H27</f>
        <v>0</v>
      </c>
      <c r="H16" s="142">
        <f t="shared" si="0"/>
        <v>0</v>
      </c>
      <c r="I16" s="142" t="str">
        <f t="shared" si="1"/>
        <v/>
      </c>
    </row>
    <row r="17" spans="1:9" ht="15.75" customHeight="1">
      <c r="A17" s="127"/>
      <c r="B17" s="793"/>
      <c r="C17" s="794"/>
      <c r="D17" s="795"/>
      <c r="E17" s="143"/>
      <c r="F17" s="143"/>
      <c r="G17" s="143"/>
      <c r="H17" s="142"/>
      <c r="I17" s="142" t="str">
        <f t="shared" si="1"/>
        <v/>
      </c>
    </row>
    <row r="18" spans="1:9" ht="15.75" customHeight="1">
      <c r="A18" s="127"/>
      <c r="B18" s="793"/>
      <c r="C18" s="794"/>
      <c r="D18" s="795"/>
      <c r="E18" s="143"/>
      <c r="F18" s="143"/>
      <c r="G18" s="143"/>
      <c r="H18" s="142"/>
      <c r="I18" s="142" t="str">
        <f t="shared" si="1"/>
        <v/>
      </c>
    </row>
    <row r="19" spans="1:9" ht="15.75" customHeight="1">
      <c r="A19" s="127"/>
      <c r="B19" s="793"/>
      <c r="C19" s="794"/>
      <c r="D19" s="795"/>
      <c r="E19" s="143"/>
      <c r="F19" s="143"/>
      <c r="G19" s="143"/>
      <c r="H19" s="142"/>
      <c r="I19" s="142" t="str">
        <f t="shared" si="1"/>
        <v/>
      </c>
    </row>
    <row r="20" spans="1:9" ht="15.75" customHeight="1">
      <c r="A20" s="127"/>
      <c r="B20" s="793"/>
      <c r="C20" s="794"/>
      <c r="D20" s="795"/>
      <c r="E20" s="143"/>
      <c r="F20" s="143"/>
      <c r="G20" s="143"/>
      <c r="H20" s="142"/>
      <c r="I20" s="142" t="str">
        <f t="shared" si="1"/>
        <v/>
      </c>
    </row>
    <row r="21" spans="1:9" ht="15.75" customHeight="1">
      <c r="A21" s="127"/>
      <c r="B21" s="793"/>
      <c r="C21" s="794"/>
      <c r="D21" s="795"/>
      <c r="E21" s="143"/>
      <c r="F21" s="143"/>
      <c r="G21" s="143"/>
      <c r="H21" s="142"/>
      <c r="I21" s="142" t="str">
        <f t="shared" si="1"/>
        <v/>
      </c>
    </row>
    <row r="22" spans="1:9" ht="15.75" customHeight="1">
      <c r="A22" s="127"/>
      <c r="B22" s="793"/>
      <c r="C22" s="794"/>
      <c r="D22" s="795"/>
      <c r="E22" s="143"/>
      <c r="F22" s="143"/>
      <c r="G22" s="143"/>
      <c r="H22" s="142"/>
      <c r="I22" s="142" t="str">
        <f t="shared" si="1"/>
        <v/>
      </c>
    </row>
    <row r="23" spans="1:9" ht="15.75" customHeight="1">
      <c r="A23" s="127"/>
      <c r="B23" s="793"/>
      <c r="C23" s="794"/>
      <c r="D23" s="795"/>
      <c r="E23" s="143"/>
      <c r="F23" s="143"/>
      <c r="G23" s="143"/>
      <c r="H23" s="142"/>
      <c r="I23" s="142" t="str">
        <f t="shared" si="1"/>
        <v/>
      </c>
    </row>
    <row r="24" spans="1:9" ht="15.75" customHeight="1">
      <c r="A24" s="127"/>
      <c r="B24" s="793"/>
      <c r="C24" s="794"/>
      <c r="D24" s="795"/>
      <c r="E24" s="143"/>
      <c r="F24" s="143"/>
      <c r="G24" s="143"/>
      <c r="H24" s="142"/>
      <c r="I24" s="142" t="str">
        <f t="shared" si="1"/>
        <v/>
      </c>
    </row>
    <row r="25" spans="1:9" ht="15.75" customHeight="1">
      <c r="A25" s="127"/>
      <c r="B25" s="793"/>
      <c r="C25" s="794"/>
      <c r="D25" s="795"/>
      <c r="E25" s="143"/>
      <c r="F25" s="143"/>
      <c r="G25" s="143"/>
      <c r="H25" s="142"/>
      <c r="I25" s="142" t="str">
        <f t="shared" si="1"/>
        <v/>
      </c>
    </row>
    <row r="26" spans="1:9" ht="15.75" customHeight="1">
      <c r="A26" s="120"/>
      <c r="B26" s="793"/>
      <c r="C26" s="794"/>
      <c r="D26" s="795"/>
      <c r="E26" s="143"/>
      <c r="F26" s="143"/>
      <c r="G26" s="143"/>
      <c r="H26" s="142"/>
      <c r="I26" s="142"/>
    </row>
    <row r="27" spans="1:9" ht="15.75" customHeight="1">
      <c r="A27" s="105">
        <v>3</v>
      </c>
      <c r="B27" s="793" t="s">
        <v>32</v>
      </c>
      <c r="C27" s="794"/>
      <c r="D27" s="795"/>
      <c r="E27" s="142">
        <f>SUM(E6:E26)</f>
        <v>0</v>
      </c>
      <c r="F27" s="142">
        <f>SUM(F6:F26)</f>
        <v>0</v>
      </c>
      <c r="G27" s="142">
        <f>SUM(G6:G26)</f>
        <v>0</v>
      </c>
      <c r="H27" s="142">
        <f>SUM(H6:H26)</f>
        <v>0</v>
      </c>
      <c r="I27" s="142" t="str">
        <f>IF(F27=0,"",H27/F27*100)</f>
        <v/>
      </c>
    </row>
    <row r="28" spans="1:9" ht="15.75" customHeight="1">
      <c r="A28" s="101" t="e">
        <f>#REF!&amp;#REF!</f>
        <v>#REF!</v>
      </c>
      <c r="G28" s="115" t="e">
        <f>"评估人员："&amp;#REF!</f>
        <v>#REF!</v>
      </c>
    </row>
    <row r="29" spans="1:9" ht="15.75" customHeight="1">
      <c r="A29" s="129" t="e">
        <f>CONCATENATE(#REF!,#REF!,#REF!,#REF!,#REF!,#REF!,#REF!)</f>
        <v>#REF!</v>
      </c>
    </row>
  </sheetData>
  <mergeCells count="24">
    <mergeCell ref="B18:D18"/>
    <mergeCell ref="B10:D10"/>
    <mergeCell ref="B11:D11"/>
    <mergeCell ref="B12:D12"/>
    <mergeCell ref="A2:I2"/>
    <mergeCell ref="A3:I3"/>
    <mergeCell ref="B5:D5"/>
    <mergeCell ref="B13:D13"/>
    <mergeCell ref="B8:D8"/>
    <mergeCell ref="B9:D9"/>
    <mergeCell ref="B14:D14"/>
    <mergeCell ref="B15:D15"/>
    <mergeCell ref="B7:D7"/>
    <mergeCell ref="B16:D16"/>
    <mergeCell ref="B17:D17"/>
    <mergeCell ref="B19:D19"/>
    <mergeCell ref="B20:D20"/>
    <mergeCell ref="B21:D21"/>
    <mergeCell ref="B22:D22"/>
    <mergeCell ref="B27:D27"/>
    <mergeCell ref="B26:D26"/>
    <mergeCell ref="B23:D23"/>
    <mergeCell ref="B24:D24"/>
    <mergeCell ref="B25:D25"/>
  </mergeCells>
  <phoneticPr fontId="6" type="noConversion"/>
  <hyperlinks>
    <hyperlink ref="B11" location="应收利息!A1" display="应收利息!A1"/>
    <hyperlink ref="B7" location="短期投资汇总!A1" display="短期投资汇总!A1"/>
    <hyperlink ref="B8" location="应收票据!A1" display="应收票据"/>
    <hyperlink ref="B10" location="'应收股利（利润）'!A1" display="'应收股利（利润）'!A1"/>
    <hyperlink ref="B15" location="存货汇总!A1" display="存货汇总!A1"/>
    <hyperlink ref="B16" location="待摊费用!A1" display="待摊费用!A1"/>
    <hyperlink ref="B6" location="现金!A1" display="货币资金—现金清查评估明细表"/>
    <hyperlink ref="C6" location="银行存款!A1" display="货币资金—银行存款清查评估明细表"/>
    <hyperlink ref="D6" location="其他货币资金!A1" display="货币资金—其他货币资金清查评估明细表"/>
    <hyperlink ref="A1" location="索引目录!C6" display="流动资产"/>
    <hyperlink ref="B1" location="分类汇总!B6" display="一、流动资产合计"/>
    <hyperlink ref="B7:D7" location="交易性金融资产汇总!B1" display="返回"/>
    <hyperlink ref="B9:D9" location="应收账款!B1" display="返回 "/>
    <hyperlink ref="B10:D10" location="预付账款!B1" display="返回"/>
    <hyperlink ref="B11:D11" location="应收利息!B1" display="返回"/>
    <hyperlink ref="B12:D12" location="'应收股利（利润）'!B1" display="返回"/>
    <hyperlink ref="B13:D13" location="其他应收款!B1" display="返回 "/>
    <hyperlink ref="B14:D14" location="存货汇总!B1" display="返回"/>
    <hyperlink ref="B15:D15" location="一年到期非流动资产!B1" display="返回"/>
    <hyperlink ref="B16:D16" location="其他流动资产!B1" display="返回"/>
  </hyperlinks>
  <printOptions horizontalCentered="1"/>
  <pageMargins left="0.35433070866141736" right="0.35433070866141736" top="0.78740157480314965" bottom="0.35433070866141736" header="0.98" footer="0.23622047244094491"/>
  <pageSetup paperSize="9" scale="92" orientation="landscape" horizontalDpi="4294967292" r:id="rId1"/>
  <headerFooter alignWithMargins="0">
    <oddHeader>&amp;R&amp;"宋体,常规"&amp;10表&amp;"Times New Roman,常规"3
&amp;"宋体,常规"共&amp;"Times New Roman,常规"&amp;N&amp;"宋体,常规"页第&amp;"Times New Roman,常规"&amp;P&amp;"宋体,常规"页</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A1:I29"/>
  <sheetViews>
    <sheetView workbookViewId="0">
      <selection activeCell="H10" sqref="H10"/>
    </sheetView>
  </sheetViews>
  <sheetFormatPr defaultRowHeight="15.75" customHeight="1" outlineLevelCol="1"/>
  <cols>
    <col min="1" max="1" width="7" style="4" customWidth="1"/>
    <col min="2" max="2" width="30.875" style="4" customWidth="1"/>
    <col min="3" max="3" width="13.75" style="4" customWidth="1"/>
    <col min="4" max="4" width="23.25" style="4" customWidth="1"/>
    <col min="5" max="5" width="16.5" style="4" customWidth="1" outlineLevel="1"/>
    <col min="6" max="6" width="10.25" style="4" customWidth="1" outlineLevel="1"/>
    <col min="7" max="8" width="16.5" style="4" customWidth="1"/>
    <col min="9" max="9" width="15.5" style="4" customWidth="1"/>
    <col min="10" max="16384" width="9" style="4"/>
  </cols>
  <sheetData>
    <row r="1" spans="1:9" ht="14.25">
      <c r="A1" s="272" t="s">
        <v>130</v>
      </c>
      <c r="B1" s="196" t="s">
        <v>131</v>
      </c>
      <c r="C1" s="1"/>
      <c r="D1" s="1"/>
      <c r="E1" s="1"/>
      <c r="F1" s="1"/>
      <c r="G1" s="1"/>
      <c r="H1" s="1"/>
      <c r="I1" s="1"/>
    </row>
    <row r="2" spans="1:9" s="114" customFormat="1" ht="30" customHeight="1">
      <c r="A2" s="790" t="s">
        <v>843</v>
      </c>
      <c r="B2" s="791"/>
      <c r="C2" s="791"/>
      <c r="D2" s="791"/>
      <c r="E2" s="791"/>
      <c r="F2" s="791"/>
      <c r="G2" s="791"/>
      <c r="H2" s="791"/>
      <c r="I2" s="791"/>
    </row>
    <row r="3" spans="1:9" ht="14.1" customHeight="1">
      <c r="A3" s="792" t="e">
        <f>CONCATENATE(#REF!,#REF!,#REF!,#REF!,#REF!,#REF!,#REF!)</f>
        <v>#REF!</v>
      </c>
      <c r="B3" s="792"/>
      <c r="C3" s="792"/>
      <c r="D3" s="792"/>
      <c r="E3" s="792"/>
      <c r="F3" s="792"/>
      <c r="G3" s="792"/>
      <c r="H3" s="792"/>
      <c r="I3" s="808"/>
    </row>
    <row r="4" spans="1:9" ht="15.75" customHeight="1">
      <c r="A4" s="115" t="e">
        <f>#REF!&amp;#REF!</f>
        <v>#REF!</v>
      </c>
      <c r="I4" s="106" t="s">
        <v>350</v>
      </c>
    </row>
    <row r="5" spans="1:9" s="1" customFormat="1" ht="15.75" customHeight="1">
      <c r="A5" s="2" t="s">
        <v>371</v>
      </c>
      <c r="B5" s="2" t="s">
        <v>380</v>
      </c>
      <c r="C5" s="2" t="s">
        <v>381</v>
      </c>
      <c r="D5" s="2" t="s">
        <v>383</v>
      </c>
      <c r="E5" s="2" t="s">
        <v>426</v>
      </c>
      <c r="F5" s="2" t="s">
        <v>710</v>
      </c>
      <c r="G5" s="2" t="s">
        <v>315</v>
      </c>
      <c r="H5" s="2" t="s">
        <v>353</v>
      </c>
      <c r="I5" s="2" t="s">
        <v>377</v>
      </c>
    </row>
    <row r="6" spans="1:9" ht="15.75" customHeight="1">
      <c r="A6" s="105"/>
      <c r="B6" s="128"/>
      <c r="C6" s="121"/>
      <c r="D6" s="105"/>
      <c r="E6" s="142"/>
      <c r="F6" s="142"/>
      <c r="G6" s="142"/>
      <c r="H6" s="142"/>
      <c r="I6" s="120"/>
    </row>
    <row r="7" spans="1:9" ht="15.75" customHeight="1">
      <c r="A7" s="105"/>
      <c r="B7" s="128"/>
      <c r="C7" s="121"/>
      <c r="D7" s="105"/>
      <c r="E7" s="142"/>
      <c r="F7" s="142"/>
      <c r="G7" s="142"/>
      <c r="H7" s="142"/>
      <c r="I7" s="120"/>
    </row>
    <row r="8" spans="1:9" ht="15.75" customHeight="1">
      <c r="A8" s="105"/>
      <c r="B8" s="128"/>
      <c r="C8" s="121"/>
      <c r="D8" s="105"/>
      <c r="E8" s="142"/>
      <c r="F8" s="142"/>
      <c r="G8" s="142"/>
      <c r="H8" s="142"/>
      <c r="I8" s="120"/>
    </row>
    <row r="9" spans="1:9" ht="15.75" customHeight="1">
      <c r="A9" s="105"/>
      <c r="B9" s="128"/>
      <c r="C9" s="121"/>
      <c r="D9" s="105"/>
      <c r="E9" s="142"/>
      <c r="F9" s="142"/>
      <c r="G9" s="142"/>
      <c r="H9" s="142"/>
      <c r="I9" s="120"/>
    </row>
    <row r="10" spans="1:9" ht="15.75" customHeight="1">
      <c r="A10" s="105"/>
      <c r="B10" s="128"/>
      <c r="C10" s="121"/>
      <c r="D10" s="105"/>
      <c r="E10" s="142"/>
      <c r="F10" s="142"/>
      <c r="G10" s="142"/>
      <c r="H10" s="142"/>
      <c r="I10" s="120"/>
    </row>
    <row r="11" spans="1:9" ht="15.75" customHeight="1">
      <c r="A11" s="105"/>
      <c r="B11" s="128"/>
      <c r="C11" s="121"/>
      <c r="D11" s="105"/>
      <c r="E11" s="142"/>
      <c r="F11" s="142"/>
      <c r="G11" s="142"/>
      <c r="H11" s="142"/>
      <c r="I11" s="120"/>
    </row>
    <row r="12" spans="1:9" ht="15.75" customHeight="1">
      <c r="A12" s="105"/>
      <c r="B12" s="128"/>
      <c r="C12" s="121"/>
      <c r="D12" s="105"/>
      <c r="E12" s="142"/>
      <c r="F12" s="142"/>
      <c r="G12" s="142"/>
      <c r="H12" s="142"/>
      <c r="I12" s="120"/>
    </row>
    <row r="13" spans="1:9" ht="15.75" customHeight="1">
      <c r="A13" s="105"/>
      <c r="B13" s="128"/>
      <c r="C13" s="121"/>
      <c r="D13" s="105"/>
      <c r="E13" s="142"/>
      <c r="F13" s="142"/>
      <c r="G13" s="142"/>
      <c r="H13" s="142"/>
      <c r="I13" s="120"/>
    </row>
    <row r="14" spans="1:9" ht="15.75" customHeight="1">
      <c r="A14" s="105"/>
      <c r="B14" s="128"/>
      <c r="C14" s="121"/>
      <c r="D14" s="105"/>
      <c r="E14" s="142"/>
      <c r="F14" s="142"/>
      <c r="G14" s="142"/>
      <c r="H14" s="142"/>
      <c r="I14" s="120"/>
    </row>
    <row r="15" spans="1:9" ht="15.75" customHeight="1">
      <c r="A15" s="105"/>
      <c r="B15" s="128"/>
      <c r="C15" s="121"/>
      <c r="D15" s="105"/>
      <c r="E15" s="142"/>
      <c r="F15" s="142"/>
      <c r="G15" s="142"/>
      <c r="H15" s="142"/>
      <c r="I15" s="120"/>
    </row>
    <row r="16" spans="1:9" ht="15.75" customHeight="1">
      <c r="A16" s="105"/>
      <c r="B16" s="128"/>
      <c r="C16" s="121"/>
      <c r="D16" s="105"/>
      <c r="E16" s="142"/>
      <c r="F16" s="142"/>
      <c r="G16" s="142"/>
      <c r="H16" s="142"/>
      <c r="I16" s="120"/>
    </row>
    <row r="17" spans="1:9" ht="15.75" customHeight="1">
      <c r="A17" s="105"/>
      <c r="B17" s="128"/>
      <c r="C17" s="121"/>
      <c r="D17" s="105"/>
      <c r="E17" s="142"/>
      <c r="F17" s="142"/>
      <c r="G17" s="142"/>
      <c r="H17" s="142"/>
      <c r="I17" s="120"/>
    </row>
    <row r="18" spans="1:9" ht="15.75" customHeight="1">
      <c r="A18" s="105"/>
      <c r="B18" s="128"/>
      <c r="C18" s="121"/>
      <c r="D18" s="105"/>
      <c r="E18" s="142"/>
      <c r="F18" s="142"/>
      <c r="G18" s="142"/>
      <c r="H18" s="142"/>
      <c r="I18" s="120"/>
    </row>
    <row r="19" spans="1:9" ht="15.75" customHeight="1">
      <c r="A19" s="105"/>
      <c r="B19" s="128"/>
      <c r="C19" s="121"/>
      <c r="D19" s="105"/>
      <c r="E19" s="142"/>
      <c r="F19" s="142"/>
      <c r="G19" s="142"/>
      <c r="H19" s="142"/>
      <c r="I19" s="120"/>
    </row>
    <row r="20" spans="1:9" ht="15.75" customHeight="1">
      <c r="A20" s="105"/>
      <c r="B20" s="128"/>
      <c r="C20" s="121"/>
      <c r="D20" s="105"/>
      <c r="E20" s="142"/>
      <c r="F20" s="142"/>
      <c r="G20" s="142"/>
      <c r="H20" s="142"/>
      <c r="I20" s="120"/>
    </row>
    <row r="21" spans="1:9" ht="15.75" customHeight="1">
      <c r="A21" s="105"/>
      <c r="B21" s="128"/>
      <c r="C21" s="121"/>
      <c r="D21" s="105"/>
      <c r="E21" s="142"/>
      <c r="F21" s="142"/>
      <c r="G21" s="142"/>
      <c r="H21" s="142"/>
      <c r="I21" s="120"/>
    </row>
    <row r="22" spans="1:9" ht="15.75" customHeight="1">
      <c r="A22" s="105"/>
      <c r="B22" s="128"/>
      <c r="C22" s="121"/>
      <c r="D22" s="105"/>
      <c r="E22" s="142"/>
      <c r="F22" s="142"/>
      <c r="G22" s="142"/>
      <c r="H22" s="142"/>
      <c r="I22" s="120"/>
    </row>
    <row r="23" spans="1:9" ht="15.75" customHeight="1">
      <c r="A23" s="105"/>
      <c r="B23" s="128"/>
      <c r="C23" s="121"/>
      <c r="D23" s="105"/>
      <c r="E23" s="142"/>
      <c r="F23" s="142"/>
      <c r="G23" s="142"/>
      <c r="H23" s="142"/>
      <c r="I23" s="120"/>
    </row>
    <row r="24" spans="1:9" ht="15.75" customHeight="1">
      <c r="A24" s="105"/>
      <c r="B24" s="128"/>
      <c r="C24" s="121"/>
      <c r="D24" s="105"/>
      <c r="E24" s="142"/>
      <c r="F24" s="142"/>
      <c r="G24" s="142"/>
      <c r="H24" s="142"/>
      <c r="I24" s="120"/>
    </row>
    <row r="25" spans="1:9" ht="15.75" customHeight="1">
      <c r="A25" s="105"/>
      <c r="B25" s="128"/>
      <c r="C25" s="121"/>
      <c r="D25" s="105"/>
      <c r="E25" s="142"/>
      <c r="F25" s="142"/>
      <c r="G25" s="142"/>
      <c r="H25" s="142"/>
      <c r="I25" s="120"/>
    </row>
    <row r="26" spans="1:9" ht="15.75" customHeight="1">
      <c r="A26" s="105"/>
      <c r="B26" s="128"/>
      <c r="C26" s="121"/>
      <c r="D26" s="105"/>
      <c r="E26" s="142"/>
      <c r="F26" s="142"/>
      <c r="G26" s="142"/>
      <c r="H26" s="142"/>
      <c r="I26" s="120"/>
    </row>
    <row r="27" spans="1:9" ht="15.75" customHeight="1">
      <c r="A27" s="809" t="s">
        <v>229</v>
      </c>
      <c r="B27" s="847"/>
      <c r="C27" s="121"/>
      <c r="D27" s="105"/>
      <c r="E27" s="142">
        <f>SUM(E6:E26)</f>
        <v>0</v>
      </c>
      <c r="F27" s="142"/>
      <c r="G27" s="142">
        <f>SUM(G6:G26)</f>
        <v>0</v>
      </c>
      <c r="H27" s="142">
        <f>SUM(H6:H26)</f>
        <v>0</v>
      </c>
      <c r="I27" s="120"/>
    </row>
    <row r="28" spans="1:9" ht="15.75" customHeight="1">
      <c r="A28" s="101" t="e">
        <f>#REF!&amp;#REF!</f>
        <v>#REF!</v>
      </c>
      <c r="G28" s="115" t="e">
        <f>"评估人员："&amp;#REF!</f>
        <v>#REF!</v>
      </c>
    </row>
    <row r="29" spans="1:9" ht="15.75" customHeight="1">
      <c r="A29" s="101" t="e">
        <f>CONCATENATE(#REF!,#REF!,#REF!,#REF!,#REF!,#REF!,#REF!)</f>
        <v>#REF!</v>
      </c>
    </row>
  </sheetData>
  <mergeCells count="3">
    <mergeCell ref="A2:I2"/>
    <mergeCell ref="A3:I3"/>
    <mergeCell ref="A27:B27"/>
  </mergeCells>
  <phoneticPr fontId="6" type="noConversion"/>
  <hyperlinks>
    <hyperlink ref="A1" location="索引目录!I26" display="其他非流动负债"/>
    <hyperlink ref="B1" location="'非流动负债汇总 '!B12" display="其他非流动负债"/>
  </hyperlinks>
  <printOptions horizontalCentered="1"/>
  <pageMargins left="0.35433070866141736" right="0.35433070866141736" top="0.78740157480314965" bottom="0.78740157480314965" header="1.05" footer="0.51181102362204722"/>
  <pageSetup paperSize="9" scale="87" fitToHeight="0" orientation="landscape" horizontalDpi="4294967292" r:id="rId1"/>
  <headerFooter alignWithMargins="0">
    <oddHeader>&amp;R&amp;"宋体,常规"&amp;10表&amp;"Times New Roman,常规"6-7
&amp;"宋体,常规"共&amp;"Times New Roman,常规"&amp;N&amp;"宋体,常规"页第&amp;"Times New Roman,常规"&amp;P&amp;"宋体,常规"页</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C26"/>
  <sheetViews>
    <sheetView showFormulas="1" workbookViewId="0">
      <selection activeCell="C1" sqref="C1"/>
    </sheetView>
  </sheetViews>
  <sheetFormatPr defaultColWidth="8.25" defaultRowHeight="12.75"/>
  <cols>
    <col min="1" max="1" width="26.875" style="6" customWidth="1"/>
    <col min="2" max="2" width="1.25" style="6" customWidth="1"/>
    <col min="3" max="3" width="28.875" style="6" customWidth="1"/>
    <col min="4" max="16384" width="8.25" style="6"/>
  </cols>
  <sheetData>
    <row r="1" spans="1:3" ht="15.75">
      <c r="A1" t="s">
        <v>70</v>
      </c>
    </row>
    <row r="2" spans="1:3" ht="13.5" thickBot="1">
      <c r="A2" s="5" t="s">
        <v>58</v>
      </c>
    </row>
    <row r="3" spans="1:3" ht="13.5" thickBot="1">
      <c r="A3" s="7" t="s">
        <v>59</v>
      </c>
      <c r="C3" s="8" t="s">
        <v>60</v>
      </c>
    </row>
    <row r="4" spans="1:3">
      <c r="A4" s="7">
        <v>3</v>
      </c>
    </row>
    <row r="6" spans="1:3" ht="13.5" thickBot="1"/>
    <row r="7" spans="1:3">
      <c r="A7" s="9" t="s">
        <v>61</v>
      </c>
    </row>
    <row r="8" spans="1:3">
      <c r="A8" s="10" t="s">
        <v>62</v>
      </c>
    </row>
    <row r="9" spans="1:3">
      <c r="A9" s="11" t="s">
        <v>63</v>
      </c>
    </row>
    <row r="10" spans="1:3">
      <c r="A10" s="10" t="s">
        <v>64</v>
      </c>
    </row>
    <row r="11" spans="1:3" ht="13.5" thickBot="1">
      <c r="A11" s="12" t="s">
        <v>65</v>
      </c>
    </row>
    <row r="13" spans="1:3" ht="13.5" thickBot="1"/>
    <row r="14" spans="1:3" ht="13.5" thickBot="1">
      <c r="A14" s="8" t="s">
        <v>66</v>
      </c>
    </row>
    <row r="16" spans="1:3" ht="13.5" thickBot="1"/>
    <row r="17" spans="1:3" ht="13.5" thickBot="1">
      <c r="C17" s="8" t="s">
        <v>67</v>
      </c>
    </row>
    <row r="20" spans="1:3">
      <c r="A20" s="13" t="s">
        <v>68</v>
      </c>
    </row>
    <row r="26" spans="1:3" ht="13.5" thickBot="1">
      <c r="C26" s="14" t="s">
        <v>69</v>
      </c>
    </row>
  </sheetData>
  <sheetProtection password="8863" sheet="1" objects="1"/>
  <phoneticPr fontId="2"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89</vt:i4>
      </vt:variant>
      <vt:variant>
        <vt:lpstr>命名范围</vt:lpstr>
      </vt:variant>
      <vt:variant>
        <vt:i4>157</vt:i4>
      </vt:variant>
    </vt:vector>
  </HeadingPairs>
  <TitlesOfParts>
    <vt:vector size="246" baseType="lpstr">
      <vt:lpstr>索引目录</vt:lpstr>
      <vt:lpstr>填表说明</vt:lpstr>
      <vt:lpstr>基本情况</vt:lpstr>
      <vt:lpstr>资产负债表</vt:lpstr>
      <vt:lpstr>利润表</vt:lpstr>
      <vt:lpstr>审定数</vt:lpstr>
      <vt:lpstr>分类汇总</vt:lpstr>
      <vt:lpstr>流动汇总</vt:lpstr>
      <vt:lpstr>现金</vt:lpstr>
      <vt:lpstr>银行存款</vt:lpstr>
      <vt:lpstr>其他货币资金</vt:lpstr>
      <vt:lpstr>交易性金融资产汇总</vt:lpstr>
      <vt:lpstr>交易性-股票</vt:lpstr>
      <vt:lpstr>交易性-债券</vt:lpstr>
      <vt:lpstr>交易性-基金</vt:lpstr>
      <vt:lpstr>应收票据</vt:lpstr>
      <vt:lpstr>应收账款</vt:lpstr>
      <vt:lpstr>预付账款</vt:lpstr>
      <vt:lpstr>应收利息</vt:lpstr>
      <vt:lpstr>应收股利（利润）</vt:lpstr>
      <vt:lpstr>其他应收款</vt:lpstr>
      <vt:lpstr>存货汇总</vt:lpstr>
      <vt:lpstr>材料采购（在途物资）</vt:lpstr>
      <vt:lpstr>原材料</vt:lpstr>
      <vt:lpstr>在库周转材料</vt:lpstr>
      <vt:lpstr>委托加工物资</vt:lpstr>
      <vt:lpstr>产成品（库存商品）</vt:lpstr>
      <vt:lpstr>在产品（自制半成品）</vt:lpstr>
      <vt:lpstr>发出商品</vt:lpstr>
      <vt:lpstr>在用周转材料</vt:lpstr>
      <vt:lpstr>一年到期非流动资产</vt:lpstr>
      <vt:lpstr>其他流动资产</vt:lpstr>
      <vt:lpstr>非流动资产汇总</vt:lpstr>
      <vt:lpstr>可供出售金融资产汇总</vt:lpstr>
      <vt:lpstr>可出售-股票</vt:lpstr>
      <vt:lpstr>可出售-债券</vt:lpstr>
      <vt:lpstr>可出售-其他</vt:lpstr>
      <vt:lpstr>持有到期投资</vt:lpstr>
      <vt:lpstr>长期应收</vt:lpstr>
      <vt:lpstr>股权投资</vt:lpstr>
      <vt:lpstr>4-5-1投资性房地产</vt:lpstr>
      <vt:lpstr>4-5-2投资性房地产</vt:lpstr>
      <vt:lpstr>4-5-3投资性地产</vt:lpstr>
      <vt:lpstr>4-5-4投资性地产</vt:lpstr>
      <vt:lpstr>房屋建筑物</vt:lpstr>
      <vt:lpstr>构筑物</vt:lpstr>
      <vt:lpstr>管道沟槽</vt:lpstr>
      <vt:lpstr>井巷</vt:lpstr>
      <vt:lpstr>机器设备</vt:lpstr>
      <vt:lpstr>车辆</vt:lpstr>
      <vt:lpstr>电子设备</vt:lpstr>
      <vt:lpstr>土地</vt:lpstr>
      <vt:lpstr>在建工程汇总</vt:lpstr>
      <vt:lpstr>在建（土建）</vt:lpstr>
      <vt:lpstr>在建（设备）</vt:lpstr>
      <vt:lpstr>工程物资</vt:lpstr>
      <vt:lpstr>固定资产清理</vt:lpstr>
      <vt:lpstr>生产性生物资产</vt:lpstr>
      <vt:lpstr>油气资产</vt:lpstr>
      <vt:lpstr>无形资产汇总</vt:lpstr>
      <vt:lpstr>无形-土地</vt:lpstr>
      <vt:lpstr>无形-矿业权</vt:lpstr>
      <vt:lpstr>无形-其他</vt:lpstr>
      <vt:lpstr>开发支出</vt:lpstr>
      <vt:lpstr>商誉</vt:lpstr>
      <vt:lpstr>长期待摊费用</vt:lpstr>
      <vt:lpstr>递延所得税资产</vt:lpstr>
      <vt:lpstr>其他非流动资产</vt:lpstr>
      <vt:lpstr>流动负债汇总</vt:lpstr>
      <vt:lpstr>短期借款</vt:lpstr>
      <vt:lpstr>交易性金融负债</vt:lpstr>
      <vt:lpstr>应付票据</vt:lpstr>
      <vt:lpstr>应付账款</vt:lpstr>
      <vt:lpstr>预收账款</vt:lpstr>
      <vt:lpstr>职工薪酬</vt:lpstr>
      <vt:lpstr>应交税费</vt:lpstr>
      <vt:lpstr>应付利息</vt:lpstr>
      <vt:lpstr>应付股利（利润）</vt:lpstr>
      <vt:lpstr>其他应付款</vt:lpstr>
      <vt:lpstr>一年到期非流动负债</vt:lpstr>
      <vt:lpstr>其他流动负债</vt:lpstr>
      <vt:lpstr>非流动负债汇总 </vt:lpstr>
      <vt:lpstr>长期借款</vt:lpstr>
      <vt:lpstr>应付债券</vt:lpstr>
      <vt:lpstr>长期应付款</vt:lpstr>
      <vt:lpstr>专项应付款</vt:lpstr>
      <vt:lpstr>预计负债</vt:lpstr>
      <vt:lpstr>递延所得税负债</vt:lpstr>
      <vt:lpstr>其他非流动负债</vt:lpstr>
      <vt:lpstr>'4-5-1投资性房地产'!Print_Area</vt:lpstr>
      <vt:lpstr>'4-5-2投资性房地产'!Print_Area</vt:lpstr>
      <vt:lpstr>'4-5-3投资性地产'!Print_Area</vt:lpstr>
      <vt:lpstr>'4-5-4投资性地产'!Print_Area</vt:lpstr>
      <vt:lpstr>'材料采购（在途物资）'!Print_Area</vt:lpstr>
      <vt:lpstr>'产成品（库存商品）'!Print_Area</vt:lpstr>
      <vt:lpstr>车辆!Print_Area</vt:lpstr>
      <vt:lpstr>持有到期投资!Print_Area</vt:lpstr>
      <vt:lpstr>存货汇总!Print_Area</vt:lpstr>
      <vt:lpstr>递延所得税负债!Print_Area</vt:lpstr>
      <vt:lpstr>递延所得税资产!Print_Area</vt:lpstr>
      <vt:lpstr>电子设备!Print_Area</vt:lpstr>
      <vt:lpstr>短期借款!Print_Area</vt:lpstr>
      <vt:lpstr>发出商品!Print_Area</vt:lpstr>
      <vt:lpstr>房屋建筑物!Print_Area</vt:lpstr>
      <vt:lpstr>'非流动负债汇总 '!Print_Area</vt:lpstr>
      <vt:lpstr>非流动资产汇总!Print_Area</vt:lpstr>
      <vt:lpstr>分类汇总!Print_Area</vt:lpstr>
      <vt:lpstr>工程物资!Print_Area</vt:lpstr>
      <vt:lpstr>构筑物!Print_Area</vt:lpstr>
      <vt:lpstr>股权投资!Print_Area</vt:lpstr>
      <vt:lpstr>固定资产清理!Print_Area</vt:lpstr>
      <vt:lpstr>管道沟槽!Print_Area</vt:lpstr>
      <vt:lpstr>机器设备!Print_Area</vt:lpstr>
      <vt:lpstr>基本情况!Print_Area</vt:lpstr>
      <vt:lpstr>'交易性-股票'!Print_Area</vt:lpstr>
      <vt:lpstr>'交易性-基金'!Print_Area</vt:lpstr>
      <vt:lpstr>交易性金融负债!Print_Area</vt:lpstr>
      <vt:lpstr>交易性金融资产汇总!Print_Area</vt:lpstr>
      <vt:lpstr>'交易性-债券'!Print_Area</vt:lpstr>
      <vt:lpstr>井巷!Print_Area</vt:lpstr>
      <vt:lpstr>开发支出!Print_Area</vt:lpstr>
      <vt:lpstr>'可出售-股票'!Print_Area</vt:lpstr>
      <vt:lpstr>'可出售-其他'!Print_Area</vt:lpstr>
      <vt:lpstr>'可出售-债券'!Print_Area</vt:lpstr>
      <vt:lpstr>可供出售金融资产汇总!Print_Area</vt:lpstr>
      <vt:lpstr>流动负债汇总!Print_Area</vt:lpstr>
      <vt:lpstr>流动汇总!Print_Area</vt:lpstr>
      <vt:lpstr>其他非流动负债!Print_Area</vt:lpstr>
      <vt:lpstr>其他非流动资产!Print_Area</vt:lpstr>
      <vt:lpstr>其他货币资金!Print_Area</vt:lpstr>
      <vt:lpstr>其他流动负债!Print_Area</vt:lpstr>
      <vt:lpstr>其他流动资产!Print_Area</vt:lpstr>
      <vt:lpstr>其他应付款!Print_Area</vt:lpstr>
      <vt:lpstr>其他应收款!Print_Area</vt:lpstr>
      <vt:lpstr>商誉!Print_Area</vt:lpstr>
      <vt:lpstr>生产性生物资产!Print_Area</vt:lpstr>
      <vt:lpstr>索引目录!Print_Area</vt:lpstr>
      <vt:lpstr>填表说明!Print_Area</vt:lpstr>
      <vt:lpstr>土地!Print_Area</vt:lpstr>
      <vt:lpstr>委托加工物资!Print_Area</vt:lpstr>
      <vt:lpstr>'无形-矿业权'!Print_Area</vt:lpstr>
      <vt:lpstr>'无形-其他'!Print_Area</vt:lpstr>
      <vt:lpstr>'无形-土地'!Print_Area</vt:lpstr>
      <vt:lpstr>无形资产汇总!Print_Area</vt:lpstr>
      <vt:lpstr>现金!Print_Area</vt:lpstr>
      <vt:lpstr>一年到期非流动负债!Print_Area</vt:lpstr>
      <vt:lpstr>一年到期非流动资产!Print_Area</vt:lpstr>
      <vt:lpstr>银行存款!Print_Area</vt:lpstr>
      <vt:lpstr>'应付股利（利润）'!Print_Area</vt:lpstr>
      <vt:lpstr>应付利息!Print_Area</vt:lpstr>
      <vt:lpstr>应付票据!Print_Area</vt:lpstr>
      <vt:lpstr>应付债券!Print_Area</vt:lpstr>
      <vt:lpstr>应付账款!Print_Area</vt:lpstr>
      <vt:lpstr>应交税费!Print_Area</vt:lpstr>
      <vt:lpstr>'应收股利（利润）'!Print_Area</vt:lpstr>
      <vt:lpstr>应收利息!Print_Area</vt:lpstr>
      <vt:lpstr>应收票据!Print_Area</vt:lpstr>
      <vt:lpstr>应收账款!Print_Area</vt:lpstr>
      <vt:lpstr>油气资产!Print_Area</vt:lpstr>
      <vt:lpstr>预付账款!Print_Area</vt:lpstr>
      <vt:lpstr>预计负债!Print_Area</vt:lpstr>
      <vt:lpstr>预收账款!Print_Area</vt:lpstr>
      <vt:lpstr>原材料!Print_Area</vt:lpstr>
      <vt:lpstr>'在产品（自制半成品）'!Print_Area</vt:lpstr>
      <vt:lpstr>'在建（设备）'!Print_Area</vt:lpstr>
      <vt:lpstr>'在建（土建）'!Print_Area</vt:lpstr>
      <vt:lpstr>在建工程汇总!Print_Area</vt:lpstr>
      <vt:lpstr>在库周转材料!Print_Area</vt:lpstr>
      <vt:lpstr>在用周转材料!Print_Area</vt:lpstr>
      <vt:lpstr>长期待摊费用!Print_Area</vt:lpstr>
      <vt:lpstr>长期借款!Print_Area</vt:lpstr>
      <vt:lpstr>长期应付款!Print_Area</vt:lpstr>
      <vt:lpstr>长期应收!Print_Area</vt:lpstr>
      <vt:lpstr>职工薪酬!Print_Area</vt:lpstr>
      <vt:lpstr>专项应付款!Print_Area</vt:lpstr>
      <vt:lpstr>资产负债表!Print_Area</vt:lpstr>
      <vt:lpstr>'4-5-1投资性房地产'!Print_Titles</vt:lpstr>
      <vt:lpstr>'材料采购（在途物资）'!Print_Titles</vt:lpstr>
      <vt:lpstr>'产成品（库存商品）'!Print_Titles</vt:lpstr>
      <vt:lpstr>车辆!Print_Titles</vt:lpstr>
      <vt:lpstr>持有到期投资!Print_Titles</vt:lpstr>
      <vt:lpstr>递延所得税负债!Print_Titles</vt:lpstr>
      <vt:lpstr>递延所得税资产!Print_Titles</vt:lpstr>
      <vt:lpstr>电子设备!Print_Titles</vt:lpstr>
      <vt:lpstr>短期借款!Print_Titles</vt:lpstr>
      <vt:lpstr>发出商品!Print_Titles</vt:lpstr>
      <vt:lpstr>房屋建筑物!Print_Titles</vt:lpstr>
      <vt:lpstr>分类汇总!Print_Titles</vt:lpstr>
      <vt:lpstr>工程物资!Print_Titles</vt:lpstr>
      <vt:lpstr>构筑物!Print_Titles</vt:lpstr>
      <vt:lpstr>股权投资!Print_Titles</vt:lpstr>
      <vt:lpstr>固定资产清理!Print_Titles</vt:lpstr>
      <vt:lpstr>管道沟槽!Print_Titles</vt:lpstr>
      <vt:lpstr>机器设备!Print_Titles</vt:lpstr>
      <vt:lpstr>基本情况!Print_Titles</vt:lpstr>
      <vt:lpstr>'交易性-股票'!Print_Titles</vt:lpstr>
      <vt:lpstr>'交易性-基金'!Print_Titles</vt:lpstr>
      <vt:lpstr>交易性金融负债!Print_Titles</vt:lpstr>
      <vt:lpstr>'交易性-债券'!Print_Titles</vt:lpstr>
      <vt:lpstr>开发支出!Print_Titles</vt:lpstr>
      <vt:lpstr>'可出售-股票'!Print_Titles</vt:lpstr>
      <vt:lpstr>'可出售-其他'!Print_Titles</vt:lpstr>
      <vt:lpstr>'可出售-债券'!Print_Titles</vt:lpstr>
      <vt:lpstr>其他非流动负债!Print_Titles</vt:lpstr>
      <vt:lpstr>其他非流动资产!Print_Titles</vt:lpstr>
      <vt:lpstr>其他货币资金!Print_Titles</vt:lpstr>
      <vt:lpstr>其他流动负债!Print_Titles</vt:lpstr>
      <vt:lpstr>其他流动资产!Print_Titles</vt:lpstr>
      <vt:lpstr>其他应付款!Print_Titles</vt:lpstr>
      <vt:lpstr>其他应收款!Print_Titles</vt:lpstr>
      <vt:lpstr>商誉!Print_Titles</vt:lpstr>
      <vt:lpstr>生产性生物资产!Print_Titles</vt:lpstr>
      <vt:lpstr>土地!Print_Titles</vt:lpstr>
      <vt:lpstr>委托加工物资!Print_Titles</vt:lpstr>
      <vt:lpstr>'无形-其他'!Print_Titles</vt:lpstr>
      <vt:lpstr>'无形-土地'!Print_Titles</vt:lpstr>
      <vt:lpstr>现金!Print_Titles</vt:lpstr>
      <vt:lpstr>一年到期非流动负债!Print_Titles</vt:lpstr>
      <vt:lpstr>一年到期非流动资产!Print_Titles</vt:lpstr>
      <vt:lpstr>银行存款!Print_Titles</vt:lpstr>
      <vt:lpstr>'应付股利（利润）'!Print_Titles</vt:lpstr>
      <vt:lpstr>应付利息!Print_Titles</vt:lpstr>
      <vt:lpstr>应付票据!Print_Titles</vt:lpstr>
      <vt:lpstr>应付债券!Print_Titles</vt:lpstr>
      <vt:lpstr>应付账款!Print_Titles</vt:lpstr>
      <vt:lpstr>应交税费!Print_Titles</vt:lpstr>
      <vt:lpstr>'应收股利（利润）'!Print_Titles</vt:lpstr>
      <vt:lpstr>应收利息!Print_Titles</vt:lpstr>
      <vt:lpstr>应收票据!Print_Titles</vt:lpstr>
      <vt:lpstr>应收账款!Print_Titles</vt:lpstr>
      <vt:lpstr>油气资产!Print_Titles</vt:lpstr>
      <vt:lpstr>预付账款!Print_Titles</vt:lpstr>
      <vt:lpstr>预计负债!Print_Titles</vt:lpstr>
      <vt:lpstr>预收账款!Print_Titles</vt:lpstr>
      <vt:lpstr>原材料!Print_Titles</vt:lpstr>
      <vt:lpstr>'在产品（自制半成品）'!Print_Titles</vt:lpstr>
      <vt:lpstr>'在建（设备）'!Print_Titles</vt:lpstr>
      <vt:lpstr>'在建（土建）'!Print_Titles</vt:lpstr>
      <vt:lpstr>在库周转材料!Print_Titles</vt:lpstr>
      <vt:lpstr>在用周转材料!Print_Titles</vt:lpstr>
      <vt:lpstr>长期待摊费用!Print_Titles</vt:lpstr>
      <vt:lpstr>长期借款!Print_Titles</vt:lpstr>
      <vt:lpstr>长期应付款!Print_Titles</vt:lpstr>
      <vt:lpstr>长期应收!Print_Titles</vt:lpstr>
      <vt:lpstr>职工薪酬!Print_Titles</vt:lpstr>
      <vt:lpstr>专项应付款!Print_Titles</vt:lpstr>
    </vt:vector>
  </TitlesOfParts>
  <Company>conqueror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新版通用申报表</dc:title>
  <dc:creator>Seaman</dc:creator>
  <cp:lastModifiedBy>DELL</cp:lastModifiedBy>
  <cp:lastPrinted>2018-08-11T03:00:00Z</cp:lastPrinted>
  <dcterms:created xsi:type="dcterms:W3CDTF">1999-04-07T08:44:02Z</dcterms:created>
  <dcterms:modified xsi:type="dcterms:W3CDTF">2018-09-11T08:49:49Z</dcterms:modified>
</cp:coreProperties>
</file>