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188" windowHeight="9060"/>
  </bookViews>
  <sheets>
    <sheet name="汇总表" sheetId="11" r:id="rId1"/>
    <sheet name="外场景观标识" sheetId="5" r:id="rId2"/>
    <sheet name="公区" sheetId="6" r:id="rId3"/>
    <sheet name="会所" sheetId="7" r:id="rId4"/>
    <sheet name="公园绿地" sheetId="8" r:id="rId5"/>
    <sheet name="地库" sheetId="9" r:id="rId6"/>
    <sheet name="物业相关" sheetId="10" r:id="rId7"/>
  </sheets>
  <externalReferences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</externalReferences>
  <definedNames>
    <definedName name="_xlnm._FilterDatabase" localSheetId="1" hidden="1">外场景观标识!$A$3:$M$26</definedName>
    <definedName name="_xlnm._FilterDatabase" localSheetId="2" hidden="1">公区!$A$4:$M$12</definedName>
    <definedName name="_xlnm._FilterDatabase" localSheetId="3" hidden="1">会所!$A$4:$M$27</definedName>
    <definedName name="_xlnm._FilterDatabase" localSheetId="4" hidden="1">公园绿地!$A$4:$M$10</definedName>
    <definedName name="_xlnm._FilterDatabase" localSheetId="5" hidden="1">地库!$A$4:$M$21</definedName>
    <definedName name="_xlnm._FilterDatabase" localSheetId="6" hidden="1">物业相关!$A$4:$M$25</definedName>
    <definedName name="_xlnm.Print_Area" localSheetId="1">外场景观标识!$A$1:$M$26</definedName>
    <definedName name="_xlnm.Print_Area" localSheetId="2">公区!$A$1:$M$12</definedName>
    <definedName name="_xlnm.Print_Area" localSheetId="3">会所!$A$1:$M$27</definedName>
    <definedName name="_xlnm.Print_Area" localSheetId="4">公园绿地!$A$1:$M$10</definedName>
    <definedName name="_xlnm.Print_Area" localSheetId="5">地库!$A$1:$M$21</definedName>
    <definedName name="_xlnm.Print_Area" localSheetId="6">物业相关!$A$1:$M$25</definedName>
    <definedName name="_6.3">[1]Sheet1!$C$19</definedName>
    <definedName name="_6.5">[1]Sheet1!$C$20</definedName>
    <definedName name="_8">[1]Sheet1!$C$21</definedName>
    <definedName name="□40_40_1.5">[1]Sheet1!$C$42</definedName>
    <definedName name="□40_40_2">[1]Sheet1!$C$43</definedName>
    <definedName name="□40_40_3.5">[1]Sheet1!$C$44</definedName>
    <definedName name="□40_40_4">[1]Sheet1!$C$45</definedName>
    <definedName name="□40_40_5">[1]Sheet1!$C$46</definedName>
    <definedName name="□40_40_6">[1]Sheet1!$C$47</definedName>
    <definedName name="□50_50_1.5">[1]Sheet1!$C$48</definedName>
    <definedName name="□50_50_2">[1]Sheet1!$C$49</definedName>
    <definedName name="□50_50_3">[1]Sheet1!$C$50</definedName>
    <definedName name="□50_50_4">[1]Sheet1!$C$51</definedName>
    <definedName name="A">EVALUATE(#REF!)</definedName>
    <definedName name="B主筋锚长">[2]内围地梁钢筋说明!$C$17</definedName>
    <definedName name="dbTitle_builder">[3]G2TempSheet!$C$4</definedName>
    <definedName name="dbTitle_projectname">[3]G2TempSheet!$D$4</definedName>
    <definedName name="dsDataSet">#REF!</definedName>
    <definedName name="dw">#REF!</definedName>
    <definedName name="HJ">IF(#REF!=0,#REF!,#REF!*#REF!)</definedName>
    <definedName name="INPUT_1_2">#REF!</definedName>
    <definedName name="INPUT_1_2S">#REF!</definedName>
    <definedName name="INPUT_1_3">#REF!</definedName>
    <definedName name="INPUT_1_3S">#REF!</definedName>
    <definedName name="INPUT_1_4">#REF!</definedName>
    <definedName name="INPUT_1_4S">#REF!</definedName>
    <definedName name="INPUT_1S">#REF!</definedName>
    <definedName name="INPUT_2_1">#REF!</definedName>
    <definedName name="INPUT_2_1S">#REF!</definedName>
    <definedName name="INPUT_2_2">#REF!</definedName>
    <definedName name="INPUT_2_2S">#REF!</definedName>
    <definedName name="INPUT_2_3">#REF!</definedName>
    <definedName name="INPUT_2_3S">#REF!</definedName>
    <definedName name="INPUT_2S">#REF!</definedName>
    <definedName name="INPUT_3">#REF!</definedName>
    <definedName name="INPUT_3S">#REF!</definedName>
    <definedName name="INPUT_BQ">#REF!</definedName>
    <definedName name="L30_3">[1]Sheet1!$C$3</definedName>
    <definedName name="L30_4">[1]Sheet1!$C$4</definedName>
    <definedName name="L32_20_3">[1]Sheet1!$C$23</definedName>
    <definedName name="L32_20_4">[1]Sheet1!$C$24</definedName>
    <definedName name="L36_3">[1]Sheet1!$C$5</definedName>
    <definedName name="L36_4">[1]Sheet1!$C$6</definedName>
    <definedName name="L36_5">[1]Sheet1!$C$7</definedName>
    <definedName name="L40_25_3">[1]Sheet1!$C$25</definedName>
    <definedName name="L40_25_4">[1]Sheet1!$C$26</definedName>
    <definedName name="L40_3">[1]Sheet1!$C$8</definedName>
    <definedName name="L40_4">[1]Sheet1!$C$9</definedName>
    <definedName name="L40_5">[1]Sheet1!$C$10</definedName>
    <definedName name="L45_28_3">[1]Sheet1!$C$27</definedName>
    <definedName name="L45_28_4">[1]Sheet1!$C$28</definedName>
    <definedName name="L45_3">[1]Sheet1!$C$11</definedName>
    <definedName name="L45_4">[1]Sheet1!$C$12</definedName>
    <definedName name="L45_5">[1]Sheet1!$C$13</definedName>
    <definedName name="L45_6">[1]Sheet1!$C$14</definedName>
    <definedName name="L50_3">[1]Sheet1!$C$15</definedName>
    <definedName name="L50_32_3">[1]Sheet1!$C$29</definedName>
    <definedName name="L50_32_4">[1]Sheet1!$C$30</definedName>
    <definedName name="L50_4">[1]Sheet1!$C$16</definedName>
    <definedName name="L50_5">[1]Sheet1!$C$17</definedName>
    <definedName name="L50_6">[1]Sheet1!$C$18</definedName>
    <definedName name="Result1">EVALUATE(#REF!)</definedName>
    <definedName name="Result2">EVALUATE(#REF!)</definedName>
    <definedName name="TENDERER">#REF!</definedName>
    <definedName name="VERSION">#REF!</definedName>
    <definedName name="XLRPARAMS_BZSJ" hidden="1">#REF!</definedName>
    <definedName name="XLRPARAMS_FDDBR" hidden="1">#REF!</definedName>
    <definedName name="XLRPARAMS_GCMC" hidden="1">[4]XLR_NoRangeSheet!$B$6</definedName>
    <definedName name="XLRPARAMS_JSDW" hidden="1">#REF!</definedName>
    <definedName name="XLRPARAMS_TBR" hidden="1">#REF!</definedName>
    <definedName name="XLRPARAMS_TBZJ" hidden="1">#REF!</definedName>
    <definedName name="XLRPARAMS_TBZJDX" hidden="1">#REF!</definedName>
    <definedName name="Ф10">[1]Sheet1!$C$60</definedName>
    <definedName name="Ф11">[1]Sheet1!$C$61</definedName>
    <definedName name="Ф12">[1]Sheet1!$C$62</definedName>
    <definedName name="Ф15">[1]Sheet1!$C$63</definedName>
    <definedName name="Ф5">[1]Sheet1!$C$55</definedName>
    <definedName name="Ф6">[1]Sheet1!$C$56</definedName>
    <definedName name="Ф7">[1]Sheet1!$C$57</definedName>
    <definedName name="Ф8">[1]Sheet1!$C$58</definedName>
    <definedName name="Ф9">[1]Sheet1!$C$59</definedName>
    <definedName name="阿瑟">'[5]5201.2004'!$A$1:$I$24</definedName>
    <definedName name="吊筋角度">[2]内围地梁钢筋说明!$C$22</definedName>
    <definedName name="吊筋锚长">[2]内围地梁钢筋说明!$C$23</definedName>
    <definedName name="二级">[6]基础项目!#REF!</definedName>
    <definedName name="放坡系数1">'[7]承台(砖模) '!#REF!</definedName>
    <definedName name="放坡系数2">'[7]承台(砖模) '!#REF!</definedName>
    <definedName name="放坡系数A">'[7]承台(砖模) '!#REF!</definedName>
    <definedName name="复式">[8]墙面工程!#REF!</definedName>
    <definedName name="钢筋保护层">[2]内围地梁钢筋说明!$C$15</definedName>
    <definedName name="工程量">EVALUATE([9]工程量计算表!$F1)</definedName>
    <definedName name="计算">ROUND(EVALUATE(SUBSTITUTE(SUBSTITUTE(#REF!,"[","*ISTEXT(""["),"]","]"")")),2)</definedName>
    <definedName name="计算式">EVALUATE(#REF!)</definedName>
    <definedName name="建筑面积">'[10]建筑面积 '!$I$5</definedName>
    <definedName name="门窗表">[11]门窗表!$A$1:$O$116</definedName>
    <definedName name="排水沟深">[2]内围地梁钢筋说明!$C$21</definedName>
    <definedName name="三级">[6]基础项目!#REF!</definedName>
    <definedName name="室内外地台差">'[7]承台(砖模) '!#REF!</definedName>
    <definedName name="特征规格">[12]单位库!$D:$D</definedName>
    <definedName name="踢脚线高">[7]柱!#REF!</definedName>
    <definedName name="新砌">[13]墙面工程!#REF!</definedName>
    <definedName name="序号">IF(#REF!="","",COUNTA(#REF!))</definedName>
    <definedName name="腰筋锚长">[2]内围地梁钢筋说明!$C$20</definedName>
    <definedName name="一级">[6]基础项目!#REF!</definedName>
    <definedName name="作业类别">[14]项目名称!$A$1:$A$65536</definedName>
    <definedName name="youwu">#REF!</definedName>
    <definedName name="_Order1" hidden="1">255</definedName>
    <definedName name="_工程名称">[15]Sheet2!$A$3</definedName>
    <definedName name="asda">[16]土建工程综合单价表!#REF!</definedName>
    <definedName name="gz">[17]管桩主材表!$C$5:$C$7</definedName>
    <definedName name="x" localSheetId="0">EVALUATE([18]工程量计算稿!$D1)</definedName>
    <definedName name="单价101">[16]土建工程综合单价表!#REF!</definedName>
    <definedName name="单价102">[16]土建工程综合单价表!#REF!</definedName>
    <definedName name="单价103">[16]土建工程综合单价表!#REF!</definedName>
    <definedName name="单价104">[16]土建工程综合单价表!#REF!</definedName>
    <definedName name="单价105">[19]土建工程综合单价表!#REF!</definedName>
    <definedName name="单价106">[19]土建工程综合单价表!#REF!</definedName>
    <definedName name="单价107">[19]土建工程综合单价表!#REF!</definedName>
    <definedName name="单价108">[19]土建工程综合单价表!#REF!</definedName>
    <definedName name="单价109">[19]土建工程综合单价表!#REF!</definedName>
    <definedName name="单价2001">[19]土建工程综合单价表!#REF!</definedName>
    <definedName name="单价2002">[19]土建工程综合单价表!#REF!</definedName>
    <definedName name="单价2003">[19]土建工程综合单价表!#REF!</definedName>
    <definedName name="单价2004">[19]土建工程综合单价表!#REF!</definedName>
    <definedName name="单价2005">[19]土建工程综合单价表!#REF!</definedName>
    <definedName name="单价20050">[19]土建工程综合单价表!#REF!</definedName>
    <definedName name="单价2006">[19]土建工程综合单价表!#REF!</definedName>
    <definedName name="单价2007">[19]土建工程综合单价表!#REF!</definedName>
    <definedName name="单价2008">[19]土建工程综合单价表!#REF!</definedName>
    <definedName name="单价2009">[19]土建工程综合单价表!#REF!</definedName>
    <definedName name="单价201">[19]土建工程综合单价表!#REF!</definedName>
    <definedName name="单价2010">[19]土建工程综合单价表!#REF!</definedName>
    <definedName name="单价2011">[19]土建工程综合单价表!#REF!</definedName>
    <definedName name="单价2012">[19]土建工程综合单价表!#REF!</definedName>
    <definedName name="单价2013">[19]土建工程综合单价表!#REF!</definedName>
    <definedName name="单价2014">[19]土建工程综合单价表!#REF!</definedName>
    <definedName name="单价2015">[19]土建工程综合单价表!#REF!</definedName>
    <definedName name="单价2016">[19]土建工程综合单价表!#REF!</definedName>
    <definedName name="单价2017">[19]土建工程综合单价表!#REF!</definedName>
    <definedName name="单价2018">[19]土建工程综合单价表!#REF!</definedName>
    <definedName name="单价2019">[19]土建工程综合单价表!#REF!</definedName>
    <definedName name="单价202">[19]土建工程综合单价表!#REF!</definedName>
    <definedName name="单价2020">[19]土建工程综合单价表!#REF!</definedName>
    <definedName name="单价2021">[19]土建工程综合单价表!#REF!</definedName>
    <definedName name="单价2022">[19]土建工程综合单价表!#REF!</definedName>
    <definedName name="单价2023">[19]土建工程综合单价表!#REF!</definedName>
    <definedName name="单价2024">[19]土建工程综合单价表!#REF!</definedName>
    <definedName name="单价2025">[19]土建工程综合单价表!#REF!</definedName>
    <definedName name="单价2026">[19]土建工程综合单价表!#REF!</definedName>
    <definedName name="单价2027">[19]土建工程综合单价表!#REF!</definedName>
    <definedName name="单价2028">[19]土建工程综合单价表!#REF!</definedName>
    <definedName name="单价2029">[19]土建工程综合单价表!#REF!</definedName>
    <definedName name="单价203">[19]土建工程综合单价表!#REF!</definedName>
    <definedName name="单价2030">[19]土建工程综合单价表!#REF!</definedName>
    <definedName name="单价2031">[19]土建工程综合单价表!#REF!</definedName>
    <definedName name="单价2032">[19]土建工程综合单价表!#REF!</definedName>
    <definedName name="单价2033">[19]土建工程综合单价表!#REF!</definedName>
    <definedName name="单价2034">[19]土建工程综合单价表!#REF!</definedName>
    <definedName name="单价2035">[19]土建工程综合单价表!#REF!</definedName>
    <definedName name="单价2036">[19]土建工程综合单价表!#REF!</definedName>
    <definedName name="单价2037">[19]土建工程综合单价表!#REF!</definedName>
    <definedName name="单价2038">[19]土建工程综合单价表!#REF!</definedName>
    <definedName name="单价2039">[19]土建工程综合单价表!#REF!</definedName>
    <definedName name="单价204">[19]土建工程综合单价表!#REF!</definedName>
    <definedName name="单价2040">[19]土建工程综合单价表!#REF!</definedName>
    <definedName name="单价2041">[19]土建工程综合单价表!#REF!</definedName>
    <definedName name="单价205">[19]土建工程综合单价表!#REF!</definedName>
    <definedName name="单价2050">[19]土建工程综合单价表!#REF!</definedName>
    <definedName name="单价206">[19]土建工程综合单价表!#REF!</definedName>
    <definedName name="单价207">[19]土建工程综合单价表!#REF!</definedName>
    <definedName name="单价208">[19]土建工程综合单价表!#REF!</definedName>
    <definedName name="单价209">[19]土建工程综合单价表!#REF!</definedName>
    <definedName name="单价210">[19]土建工程综合单价表!#REF!</definedName>
    <definedName name="单价211">[19]土建工程综合单价表!#REF!</definedName>
    <definedName name="单价212">[19]土建工程综合单价表!#REF!</definedName>
    <definedName name="单价213">[19]土建工程综合单价表!#REF!</definedName>
    <definedName name="单价214">[19]土建工程综合单价表!#REF!</definedName>
    <definedName name="单价215">[19]土建工程综合单价表!#REF!</definedName>
    <definedName name="单价216">[19]土建工程综合单价表!#REF!</definedName>
    <definedName name="单价217">[19]土建工程综合单价表!#REF!</definedName>
    <definedName name="单价2171">[19]土建工程综合单价表!#REF!</definedName>
    <definedName name="单价218">[19]土建工程综合单价表!#REF!</definedName>
    <definedName name="单价219">[19]土建工程综合单价表!#REF!</definedName>
    <definedName name="单价220">[19]土建工程综合单价表!#REF!</definedName>
    <definedName name="单价221">[19]土建工程综合单价表!#REF!</definedName>
    <definedName name="单价222">[19]土建工程综合单价表!#REF!</definedName>
    <definedName name="单价223">[19]土建工程综合单价表!#REF!</definedName>
    <definedName name="单价224">[19]土建工程综合单价表!#REF!</definedName>
    <definedName name="单价225">[19]土建工程综合单价表!#REF!</definedName>
    <definedName name="单价226">[19]土建工程综合单价表!#REF!</definedName>
    <definedName name="单价227">[19]土建工程综合单价表!#REF!</definedName>
    <definedName name="单价228">[19]土建工程综合单价表!#REF!</definedName>
    <definedName name="单价229">[19]土建工程综合单价表!#REF!</definedName>
    <definedName name="单价230">[19]土建工程综合单价表!#REF!</definedName>
    <definedName name="单价231">[19]土建工程综合单价表!#REF!</definedName>
    <definedName name="单价234">[19]土建工程综合单价表!#REF!</definedName>
    <definedName name="单价235">[19]土建工程综合单价表!#REF!</definedName>
    <definedName name="单价236">[19]土建工程综合单价表!#REF!</definedName>
    <definedName name="单价237">[19]土建工程综合单价表!#REF!</definedName>
    <definedName name="单价238">[19]土建工程综合单价表!#REF!</definedName>
    <definedName name="单价239">[19]土建工程综合单价表!#REF!</definedName>
    <definedName name="单价2391">[19]土建工程综合单价表!#REF!</definedName>
    <definedName name="单价240">[19]土建工程综合单价表!#REF!</definedName>
    <definedName name="单价241">[19]土建工程综合单价表!#REF!</definedName>
    <definedName name="单价242">[19]土建工程综合单价表!#REF!</definedName>
    <definedName name="单价243">[19]土建工程综合单价表!#REF!</definedName>
    <definedName name="单价244">[19]土建工程综合单价表!#REF!</definedName>
    <definedName name="单价245">[19]土建工程综合单价表!#REF!</definedName>
    <definedName name="单价246">[19]土建工程综合单价表!#REF!</definedName>
    <definedName name="单价247">[19]土建工程综合单价表!#REF!</definedName>
    <definedName name="单价248">[19]土建工程综合单价表!#REF!</definedName>
    <definedName name="单价249">[19]土建工程综合单价表!#REF!</definedName>
    <definedName name="单价250">[19]土建工程综合单价表!#REF!</definedName>
    <definedName name="单价251">[19]土建工程综合单价表!#REF!</definedName>
    <definedName name="单价254">[19]土建工程综合单价表!#REF!</definedName>
    <definedName name="单价255">[19]土建工程综合单价表!#REF!</definedName>
    <definedName name="单价256">[19]土建工程综合单价表!#REF!</definedName>
    <definedName name="单价257">[19]土建工程综合单价表!#REF!</definedName>
    <definedName name="单价258">[19]土建工程综合单价表!#REF!</definedName>
    <definedName name="单价259">[19]土建工程综合单价表!#REF!</definedName>
    <definedName name="单价281">[19]土建工程综合单价表!#REF!</definedName>
    <definedName name="单价282">[19]土建工程综合单价表!#REF!</definedName>
    <definedName name="单价283">[19]土建工程综合单价表!#REF!</definedName>
    <definedName name="单价284">[19]土建工程综合单价表!#REF!</definedName>
    <definedName name="单价285">[19]土建工程综合单价表!#REF!</definedName>
    <definedName name="单价286">[19]土建工程综合单价表!#REF!</definedName>
    <definedName name="单价287">[19]土建工程综合单价表!#REF!</definedName>
    <definedName name="单价301">[19]土建工程综合单价表!#REF!</definedName>
    <definedName name="单价302">[19]土建工程综合单价表!#REF!</definedName>
    <definedName name="单价303">[19]土建工程综合单价表!#REF!</definedName>
    <definedName name="单价304">[19]土建工程综合单价表!#REF!</definedName>
    <definedName name="单价305">[19]土建工程综合单价表!#REF!</definedName>
    <definedName name="单价306">[19]土建工程综合单价表!#REF!</definedName>
    <definedName name="单价307">[19]土建工程综合单价表!#REF!</definedName>
    <definedName name="单价308">[19]土建工程综合单价表!#REF!</definedName>
    <definedName name="单价309">[19]土建工程综合单价表!#REF!</definedName>
    <definedName name="单价310">[19]土建工程综合单价表!#REF!</definedName>
    <definedName name="单价311">[19]土建工程综合单价表!#REF!</definedName>
    <definedName name="单价312">[19]土建工程综合单价表!#REF!</definedName>
    <definedName name="单价313">[19]土建工程综合单价表!#REF!</definedName>
    <definedName name="单价314">[19]土建工程综合单价表!#REF!</definedName>
    <definedName name="单价315">[19]土建工程综合单价表!#REF!</definedName>
    <definedName name="单价401">[19]土建工程综合单价表!#REF!</definedName>
    <definedName name="单价501">[19]土建工程综合单价表!#REF!</definedName>
    <definedName name="单价502">[19]土建工程综合单价表!#REF!</definedName>
    <definedName name="单价503">[19]土建工程综合单价表!#REF!</definedName>
    <definedName name="单价504">[19]土建工程综合单价表!#REF!</definedName>
    <definedName name="单价505">[19]土建工程综合单价表!#REF!</definedName>
    <definedName name="单价506">[19]土建工程综合单价表!#REF!</definedName>
    <definedName name="单价507">[19]土建工程综合单价表!#REF!</definedName>
    <definedName name="单价508">[19]土建工程综合单价表!#REF!</definedName>
    <definedName name="单价509">[19]土建工程综合单价表!#REF!</definedName>
    <definedName name="单价510">[19]土建工程综合单价表!#REF!</definedName>
    <definedName name="单价511">[19]土建工程综合单价表!#REF!</definedName>
    <definedName name="单价601">[19]土建工程综合单价表!#REF!</definedName>
    <definedName name="单价602">[19]土建工程综合单价表!#REF!</definedName>
    <definedName name="单价603">[19]土建工程综合单价表!#REF!</definedName>
    <definedName name="单价606">[19]土建工程综合单价表!#REF!</definedName>
    <definedName name="单价607">[19]土建工程综合单价表!#REF!</definedName>
    <definedName name="单价608">[19]土建工程综合单价表!#REF!</definedName>
    <definedName name="单价609">[19]土建工程综合单价表!#REF!</definedName>
    <definedName name="单价610">[19]土建工程综合单价表!#REF!</definedName>
    <definedName name="单价611">[19]土建工程综合单价表!#REF!</definedName>
    <definedName name="单价612">[19]土建工程综合单价表!#REF!</definedName>
    <definedName name="单价613">[19]土建工程综合单价表!#REF!</definedName>
    <definedName name="单价614">[19]土建工程综合单价表!#REF!</definedName>
    <definedName name="单价615">[19]土建工程综合单价表!#REF!</definedName>
    <definedName name="单价616">[19]土建工程综合单价表!#REF!</definedName>
    <definedName name="单价621">[19]土建工程综合单价表!#REF!</definedName>
    <definedName name="单价622">[19]土建工程综合单价表!#REF!</definedName>
    <definedName name="单价623">[19]土建工程综合单价表!#REF!</definedName>
    <definedName name="单价631">[19]土建工程综合单价表!#REF!</definedName>
    <definedName name="单价632">[19]土建工程综合单价表!#REF!</definedName>
    <definedName name="单价633">[19]土建工程综合单价表!#REF!</definedName>
    <definedName name="单价634">[19]土建工程综合单价表!#REF!</definedName>
    <definedName name="单价635">[19]土建工程综合单价表!#REF!</definedName>
    <definedName name="单价636">[19]土建工程综合单价表!#REF!</definedName>
    <definedName name="单价637">[19]土建工程综合单价表!#REF!</definedName>
    <definedName name="单价638">[19]土建工程综合单价表!#REF!</definedName>
    <definedName name="单价639">[19]土建工程综合单价表!#REF!</definedName>
    <definedName name="单价645">[19]土建工程综合单价表!#REF!</definedName>
    <definedName name="单价646">[19]土建工程综合单价表!#REF!</definedName>
    <definedName name="单价647">[19]土建工程综合单价表!#REF!</definedName>
    <definedName name="单价648">[19]土建工程综合单价表!#REF!</definedName>
    <definedName name="单价649">[19]土建工程综合单价表!#REF!</definedName>
    <definedName name="单价661">[19]土建工程综合单价表!#REF!</definedName>
    <definedName name="单价662">[19]土建工程综合单价表!#REF!</definedName>
    <definedName name="单价663">[19]土建工程综合单价表!#REF!</definedName>
    <definedName name="单价664">[19]土建工程综合单价表!#REF!</definedName>
    <definedName name="单价665">[19]土建工程综合单价表!#REF!</definedName>
    <definedName name="单价666">[19]土建工程综合单价表!#REF!</definedName>
    <definedName name="单价701">[19]土建工程综合单价表!#REF!</definedName>
    <definedName name="单价703">[19]土建工程综合单价表!#REF!</definedName>
    <definedName name="单价704">[19]土建工程综合单价表!#REF!</definedName>
    <definedName name="单价705">[19]土建工程综合单价表!#REF!</definedName>
    <definedName name="单价706">[19]土建工程综合单价表!#REF!</definedName>
    <definedName name="单价711">[19]土建工程综合单价表!#REF!</definedName>
    <definedName name="单价716">[19]土建工程综合单价表!#REF!</definedName>
    <definedName name="单价721">[19]土建工程综合单价表!#REF!</definedName>
    <definedName name="单价722">[19]土建工程综合单价表!#REF!</definedName>
    <definedName name="单价723">[19]土建工程综合单价表!#REF!</definedName>
    <definedName name="单价724">[19]土建工程综合单价表!#REF!</definedName>
    <definedName name="单价725">[19]土建工程综合单价表!#REF!</definedName>
    <definedName name="单价726">[19]土建工程综合单价表!#REF!</definedName>
    <definedName name="单价727">[19]土建工程综合单价表!#REF!</definedName>
    <definedName name="单价728">[19]土建工程综合单价表!#REF!</definedName>
    <definedName name="单价741">[19]土建工程综合单价表!#REF!</definedName>
    <definedName name="单价742">[19]土建工程综合单价表!#REF!</definedName>
    <definedName name="单价743">[19]土建工程综合单价表!#REF!</definedName>
    <definedName name="单价744">[19]土建工程综合单价表!#REF!</definedName>
    <definedName name="单价745">[19]土建工程综合单价表!#REF!</definedName>
    <definedName name="单价801">[19]土建工程综合单价表!#REF!</definedName>
    <definedName name="单价802">[19]土建工程综合单价表!#REF!</definedName>
    <definedName name="单价803">[19]土建工程综合单价表!#REF!</definedName>
    <definedName name="单价804">[19]土建工程综合单价表!#REF!</definedName>
    <definedName name="单价805">[19]土建工程综合单价表!#REF!</definedName>
    <definedName name="单价806">[19]土建工程综合单价表!#REF!</definedName>
    <definedName name="单价821">[19]土建工程综合单价表!#REF!</definedName>
    <definedName name="单价822">[19]土建工程综合单价表!#REF!</definedName>
    <definedName name="单价823">[19]土建工程综合单价表!#REF!</definedName>
    <definedName name="单价824">[19]土建工程综合单价表!#REF!</definedName>
    <definedName name="单价825">[19]土建工程综合单价表!#REF!</definedName>
    <definedName name="单价826">[19]土建工程综合单价表!#REF!</definedName>
    <definedName name="单价827">[19]土建工程综合单价表!#REF!</definedName>
    <definedName name="单价828">[19]土建工程综合单价表!#REF!</definedName>
    <definedName name="单价829">[19]土建工程综合单价表!#REF!</definedName>
    <definedName name="钢12">[20]施工参考单价报价表!#REF!</definedName>
    <definedName name="钢3">[20]施工参考单价报价表!#REF!</definedName>
    <definedName name="管桩">[17]管桩主材表!$C$4:$C$10</definedName>
    <definedName name="静压桩">[21]管桩主材表!$C$4:$C$7</definedName>
    <definedName name="矩柱模">[20]施工参考单价报价表!#REF!</definedName>
    <definedName name="聚氨酯">[20]施工参考单价报价表!#REF!</definedName>
    <definedName name="抗拔桩">[21]管桩主材表!$C$8:$C$10</definedName>
    <definedName name="梁模">[20]施工参考单价报价表!#REF!</definedName>
    <definedName name="零星模">[20]施工参考单价报价表!#REF!</definedName>
    <definedName name="墙200模">[20]施工参考单价报价表!#REF!</definedName>
    <definedName name="墙500模">[20]施工参考单价报价表!#REF!</definedName>
    <definedName name="人">[19]土建工程综合单价表!#REF!</definedName>
    <definedName name="人工挖土">[20]其它工作项目报价清单!#REF!</definedName>
    <definedName name="天沟">[20]施工参考单价报价表!#REF!</definedName>
    <definedName name="砼10">[20]甲指乙供材料报价表!#REF!</definedName>
    <definedName name="砼15">[20]甲指乙供材料报价表!#REF!</definedName>
    <definedName name="砼20">[20]甲指乙供材料报价表!#REF!</definedName>
    <definedName name="砼25">[20]甲指乙供材料报价表!#REF!</definedName>
    <definedName name="砼30">[20]甲指乙供材料报价表!#REF!</definedName>
    <definedName name="砼35">[20]甲指乙供材料报价表!#REF!</definedName>
    <definedName name="砼40">[20]甲指乙供材料报价表!#REF!</definedName>
    <definedName name="砼45">[20]甲指乙供材料报价表!#REF!</definedName>
    <definedName name="砼50">[20]甲指乙供材料报价表!#REF!</definedName>
    <definedName name="砼55">[20]甲指乙供材料报价表!#REF!</definedName>
    <definedName name="砼浇">[20]施工参考单价报价表!#REF!</definedName>
    <definedName name="土建10001">[19]土建工程综合单价表!#REF!</definedName>
    <definedName name="土建10002">[19]土建工程综合单价表!#REF!</definedName>
    <definedName name="土建10003">[19]土建工程综合单价表!#REF!</definedName>
    <definedName name="土建10004">[19]土建工程综合单价表!#REF!</definedName>
    <definedName name="土建10005">[19]土建工程综合单价表!#REF!</definedName>
    <definedName name="土建10006">[19]土建工程综合单价表!#REF!</definedName>
    <definedName name="土建10007">[19]土建工程综合单价表!#REF!</definedName>
    <definedName name="土建10008">[19]土建工程综合单价表!#REF!</definedName>
    <definedName name="土建10009">[19]土建工程综合单价表!#REF!</definedName>
    <definedName name="土建10010">[19]土建工程综合单价表!#REF!</definedName>
    <definedName name="土建10011">[19]土建工程综合单价表!#REF!</definedName>
    <definedName name="土建2046.">[19]土建工程综合单价组价明细表!#REF!</definedName>
    <definedName name="土建21001">[19]土建工程综合单价表!#REF!</definedName>
    <definedName name="土建21002">[19]土建工程综合单价表!#REF!</definedName>
    <definedName name="土建21003">[19]土建工程综合单价表!#REF!</definedName>
    <definedName name="土建21004">[19]土建工程综合单价表!#REF!</definedName>
    <definedName name="土建21005">[19]土建工程综合单价表!#REF!</definedName>
    <definedName name="土建21006">[19]土建工程综合单价表!#REF!</definedName>
    <definedName name="土建21007">[19]土建工程综合单价表!#REF!</definedName>
    <definedName name="土建21008">[19]土建工程综合单价表!#REF!</definedName>
    <definedName name="土建21009">[19]土建工程综合单价表!#REF!</definedName>
    <definedName name="土建21010">[19]土建工程综合单价表!#REF!</definedName>
    <definedName name="土建21011">[19]土建工程综合单价表!#REF!</definedName>
    <definedName name="土建21012">[19]土建工程综合单价表!#REF!</definedName>
    <definedName name="土建21013">[19]土建工程综合单价表!#REF!</definedName>
    <definedName name="土建21014">[19]土建工程综合单价表!#REF!</definedName>
    <definedName name="土建21015">[19]土建工程综合单价表!#REF!</definedName>
    <definedName name="土建21016">[19]土建工程综合单价表!#REF!</definedName>
    <definedName name="土建21017">[19]土建工程综合单价表!#REF!</definedName>
    <definedName name="土建21018">[19]土建工程综合单价表!#REF!</definedName>
    <definedName name="土建21019">[19]土建工程综合单价表!#REF!</definedName>
    <definedName name="土建21020">[19]土建工程综合单价表!#REF!</definedName>
    <definedName name="土建21021">[19]土建工程综合单价表!#REF!</definedName>
    <definedName name="土建21022">[19]土建工程综合单价表!#REF!</definedName>
    <definedName name="土建21023">[19]土建工程综合单价表!#REF!</definedName>
    <definedName name="土建21024">[19]土建工程综合单价表!#REF!</definedName>
    <definedName name="土建21025">[19]土建工程综合单价表!#REF!</definedName>
    <definedName name="土建21026">[19]土建工程综合单价表!#REF!</definedName>
    <definedName name="土建21027">[19]土建工程综合单价表!#REF!</definedName>
    <definedName name="土建21028">[19]土建工程综合单价表!#REF!</definedName>
    <definedName name="土建21029">[19]土建工程综合单价表!#REF!</definedName>
    <definedName name="土建21030">[19]土建工程综合单价表!#REF!</definedName>
    <definedName name="土建21031">[19]土建工程综合单价表!#REF!</definedName>
    <definedName name="土建21032">[19]土建工程综合单价表!#REF!</definedName>
    <definedName name="土建21033">[19]土建工程综合单价表!#REF!</definedName>
    <definedName name="土建21034">[19]土建工程综合单价表!#REF!</definedName>
    <definedName name="土建21035">[19]土建工程综合单价表!#REF!</definedName>
    <definedName name="土建21036">[19]土建工程综合单价表!#REF!</definedName>
    <definedName name="土建21037">[19]土建工程综合单价表!#REF!</definedName>
    <definedName name="土建21038">[19]土建工程综合单价表!#REF!</definedName>
    <definedName name="土建21039">[19]土建工程综合单价表!#REF!</definedName>
    <definedName name="土建21040">[19]土建工程综合单价表!#REF!</definedName>
    <definedName name="土建21041">[19]土建工程综合单价表!#REF!</definedName>
    <definedName name="土建21042">[19]土建工程综合单价表!#REF!</definedName>
    <definedName name="土建21043">[19]土建工程综合单价表!#REF!</definedName>
    <definedName name="土建21044">[19]土建工程综合单价表!#REF!</definedName>
    <definedName name="土建21045">[19]土建工程综合单价表!#REF!</definedName>
    <definedName name="土建21046">[19]土建工程综合单价表!#REF!</definedName>
    <definedName name="土建21047">[19]土建工程综合单价表!#REF!</definedName>
    <definedName name="土建21048">[19]土建工程综合单价表!#REF!</definedName>
    <definedName name="土建21049">[19]土建工程综合单价表!#REF!</definedName>
    <definedName name="土建21050">[19]土建工程综合单价表!#REF!</definedName>
    <definedName name="土建21051">[19]土建工程综合单价表!#REF!</definedName>
    <definedName name="土建21052">[19]土建工程综合单价表!#REF!</definedName>
    <definedName name="土建21053">[19]土建工程综合单价表!#REF!</definedName>
    <definedName name="土建21054">[19]土建工程综合单价表!#REF!</definedName>
    <definedName name="土建21055">[19]土建工程综合单价表!#REF!</definedName>
    <definedName name="土建21056">[19]土建工程综合单价表!#REF!</definedName>
    <definedName name="土建21057">[19]土建工程综合单价表!#REF!</definedName>
    <definedName name="土建21058">[19]土建工程综合单价表!#REF!</definedName>
    <definedName name="土建21059">[19]土建工程综合单价表!#REF!</definedName>
    <definedName name="土建21060">[19]土建工程综合单价表!#REF!</definedName>
    <definedName name="土建21061">[19]土建工程综合单价表!#REF!</definedName>
    <definedName name="土建21062">[19]土建工程综合单价表!#REF!</definedName>
    <definedName name="土建21063">[19]土建工程综合单价表!#REF!</definedName>
    <definedName name="土建21064">[19]土建工程综合单价表!#REF!</definedName>
    <definedName name="土建21065">[19]土建工程综合单价表!#REF!</definedName>
    <definedName name="土建21066">[19]土建工程综合单价表!#REF!</definedName>
    <definedName name="土建21067">[19]土建工程综合单价表!#REF!</definedName>
    <definedName name="土建21068">[19]土建工程综合单价表!#REF!</definedName>
    <definedName name="土建21069">[19]土建工程综合单价表!#REF!</definedName>
    <definedName name="土建21070">[19]土建工程综合单价表!#REF!</definedName>
    <definedName name="土建21071">[19]土建工程综合单价表!#REF!</definedName>
    <definedName name="土建21072">[19]土建工程综合单价表!#REF!</definedName>
    <definedName name="土建21073">[19]土建工程综合单价表!#REF!</definedName>
    <definedName name="土建21074">[19]土建工程综合单价表!#REF!</definedName>
    <definedName name="土建21075">[19]土建工程综合单价表!#REF!</definedName>
    <definedName name="土建21076">[19]土建工程综合单价表!#REF!</definedName>
    <definedName name="土建21077">[19]土建工程综合单价表!#REF!</definedName>
    <definedName name="土建21078">[19]土建工程综合单价表!#REF!</definedName>
    <definedName name="土建21079">[19]土建工程综合单价表!#REF!</definedName>
    <definedName name="土建21080">[19]土建工程综合单价表!#REF!</definedName>
    <definedName name="土建21081">[19]土建工程综合单价表!#REF!</definedName>
    <definedName name="土建21082">[19]土建工程综合单价表!#REF!</definedName>
    <definedName name="土建21083">[19]土建工程综合单价表!#REF!</definedName>
    <definedName name="土建21084">[19]土建工程综合单价表!#REF!</definedName>
    <definedName name="土建21085">[19]土建工程综合单价表!#REF!</definedName>
    <definedName name="土建21086">[19]土建工程综合单价表!#REF!</definedName>
    <definedName name="土建21087">[19]土建工程综合单价表!#REF!</definedName>
    <definedName name="土建21088">[19]土建工程综合单价表!#REF!</definedName>
    <definedName name="土建21089">[19]土建工程综合单价表!#REF!</definedName>
    <definedName name="土建21090">[19]土建工程综合单价表!#REF!</definedName>
    <definedName name="土建21091">[19]土建工程综合单价表!#REF!</definedName>
    <definedName name="土建21092">[19]土建工程综合单价表!#REF!</definedName>
    <definedName name="土建21093">[19]土建工程综合单价表!#REF!</definedName>
    <definedName name="土建21094">[19]土建工程综合单价表!#REF!</definedName>
    <definedName name="土建21095">[19]土建工程综合单价表!#REF!</definedName>
    <definedName name="土建21096">[19]土建工程综合单价表!#REF!</definedName>
    <definedName name="土建21097">[19]土建工程综合单价表!#REF!</definedName>
    <definedName name="土建21098">[19]土建工程综合单价表!#REF!</definedName>
    <definedName name="土建21099">[19]土建工程综合单价表!#REF!</definedName>
    <definedName name="土建21100">[19]土建工程综合单价表!#REF!</definedName>
    <definedName name="土建21101">[19]土建工程综合单价组价明细表!#REF!</definedName>
    <definedName name="土建21101.">[19]土建工程综合单价组价明细表!#REF!</definedName>
    <definedName name="土建22001">[19]土建工程综合单价表!#REF!</definedName>
    <definedName name="土建22002">[19]土建工程综合单价表!#REF!</definedName>
    <definedName name="土建22003">[19]土建工程综合单价表!#REF!</definedName>
    <definedName name="土建22004">[19]土建工程综合单价表!#REF!</definedName>
    <definedName name="土建22005">[19]土建工程综合单价表!#REF!</definedName>
    <definedName name="土建22006">[19]土建工程综合单价表!#REF!</definedName>
    <definedName name="土建22007">[19]土建工程综合单价表!#REF!</definedName>
    <definedName name="土建22008">[19]土建工程综合单价表!#REF!</definedName>
    <definedName name="土建22009">[19]土建工程综合单价表!#REF!</definedName>
    <definedName name="土建22010">[19]土建工程综合单价表!#REF!</definedName>
    <definedName name="土建23001">[19]土建工程综合单价表!#REF!</definedName>
    <definedName name="土建23002">[19]土建工程综合单价表!#REF!</definedName>
    <definedName name="土建23003">[19]土建工程综合单价表!#REF!</definedName>
    <definedName name="土建23004">[19]土建工程综合单价表!#REF!</definedName>
    <definedName name="土建23005">[19]土建工程综合单价表!#REF!</definedName>
    <definedName name="土建23006">[19]土建工程综合单价表!#REF!</definedName>
    <definedName name="土建23007">[19]土建工程综合单价表!#REF!</definedName>
    <definedName name="土建23008">[19]土建工程综合单价表!#REF!</definedName>
    <definedName name="土建23009">[19]土建工程综合单价表!#REF!</definedName>
    <definedName name="土建23010">[19]土建工程综合单价表!#REF!</definedName>
    <definedName name="土建23011">[19]土建工程综合单价表!#REF!</definedName>
    <definedName name="土建23012">[19]土建工程综合单价表!#REF!</definedName>
    <definedName name="土建23013">[19]土建工程综合单价表!#REF!</definedName>
    <definedName name="土建23014">[19]土建工程综合单价表!#REF!</definedName>
    <definedName name="土建23015">[19]土建工程综合单价表!#REF!</definedName>
    <definedName name="土建23016">[19]土建工程综合单价表!#REF!</definedName>
    <definedName name="土建23017">[19]土建工程综合单价表!#REF!</definedName>
    <definedName name="土建23018">[19]土建工程综合单价表!#REF!</definedName>
    <definedName name="土建23019">[19]土建工程综合单价表!#REF!</definedName>
    <definedName name="土建23020">[19]土建工程综合单价表!#REF!</definedName>
    <definedName name="土建23021">[19]土建工程综合单价表!#REF!</definedName>
    <definedName name="土建23022">[19]土建工程综合单价表!#REF!</definedName>
    <definedName name="土建23023">[19]土建工程综合单价表!#REF!</definedName>
    <definedName name="土建23024">[19]土建工程综合单价表!#REF!</definedName>
    <definedName name="土建23025">[19]土建工程综合单价表!#REF!</definedName>
    <definedName name="土建23026">[19]土建工程综合单价表!#REF!</definedName>
    <definedName name="土建23027">[19]土建工程综合单价表!#REF!</definedName>
    <definedName name="土建23028">[19]土建工程综合单价表!#REF!</definedName>
    <definedName name="土建23029">[19]土建工程综合单价表!#REF!</definedName>
    <definedName name="土建23030">[19]土建工程综合单价表!#REF!</definedName>
    <definedName name="土建23031">[19]土建工程综合单价表!#REF!</definedName>
    <definedName name="土建23032">[19]土建工程综合单价表!#REF!</definedName>
    <definedName name="土建23033">[19]土建工程综合单价表!#REF!</definedName>
    <definedName name="土建23034">[19]土建工程综合单价表!#REF!</definedName>
    <definedName name="土建23035">[19]土建工程综合单价表!#REF!</definedName>
    <definedName name="土建23036">[19]土建工程综合单价表!#REF!</definedName>
    <definedName name="土建23037">[19]土建工程综合单价表!#REF!</definedName>
    <definedName name="土建23038">[19]土建工程综合单价表!#REF!</definedName>
    <definedName name="土建23039">[19]土建工程综合单价表!#REF!</definedName>
    <definedName name="土建23040">[19]土建工程综合单价表!#REF!</definedName>
    <definedName name="土建23041">[19]土建工程综合单价表!#REF!</definedName>
    <definedName name="土建23042">[19]土建工程综合单价表!#REF!</definedName>
    <definedName name="土建23043">[19]土建工程综合单价组价明细表!#REF!</definedName>
    <definedName name="土建23043.">[19]土建工程综合单价表!#REF!</definedName>
    <definedName name="土建23043。">[19]土建工程综合单价组价明细表!#REF!</definedName>
    <definedName name="土建23044">[19]土建工程综合单价组价明细表!#REF!</definedName>
    <definedName name="土建23044.">[19]土建工程综合单价表!#REF!</definedName>
    <definedName name="土建23045">[19]土建工程综合单价组价明细表!#REF!</definedName>
    <definedName name="土建23045.">[19]土建工程综合单价表!#REF!</definedName>
    <definedName name="土建23046">[19]土建工程综合单价组价明细表!#REF!</definedName>
    <definedName name="土建23046.">[19]土建工程综合单价表!#REF!</definedName>
    <definedName name="土建23047">[19]土建工程综合单价组价明细表!#REF!</definedName>
    <definedName name="土建23047.">[19]土建工程综合单价表!#REF!</definedName>
    <definedName name="土建23048">[19]土建工程综合单价组价明细表!#REF!</definedName>
    <definedName name="土建23048.">[19]土建工程综合单价表!#REF!</definedName>
    <definedName name="土建23049">[19]土建工程综合单价组价明细表!#REF!</definedName>
    <definedName name="土建23049.">[19]土建工程综合单价表!#REF!</definedName>
    <definedName name="土建23050">[19]土建工程综合单价组价明细表!#REF!</definedName>
    <definedName name="土建23050.">[19]土建工程综合单价表!#REF!</definedName>
    <definedName name="土建23051">[19]土建工程综合单价组价明细表!#REF!</definedName>
    <definedName name="土建23051.">[19]土建工程综合单价表!#REF!</definedName>
    <definedName name="土建23052">[19]土建工程综合单价组价明细表!#REF!</definedName>
    <definedName name="土建23052.">[19]土建工程综合单价表!#REF!</definedName>
    <definedName name="土建30001">[19]土建工程综合单价表!#REF!</definedName>
    <definedName name="土建30002">[19]土建工程综合单价表!#REF!</definedName>
    <definedName name="土建30003">[19]土建工程综合单价表!#REF!</definedName>
    <definedName name="土建30004">[19]土建工程综合单价表!#REF!</definedName>
    <definedName name="土建30005">[19]土建工程综合单价表!#REF!</definedName>
    <definedName name="土建30006">[19]土建工程综合单价表!#REF!</definedName>
    <definedName name="土建30007">[19]土建工程综合单价表!#REF!</definedName>
    <definedName name="土建30008">[19]土建工程综合单价表!#REF!</definedName>
    <definedName name="土建30009">[19]土建工程综合单价表!#REF!</definedName>
    <definedName name="土建30010">[19]土建工程综合单价表!#REF!</definedName>
    <definedName name="土建30011">[19]土建工程综合单价表!#REF!</definedName>
    <definedName name="土建30012">[19]土建工程综合单价表!#REF!</definedName>
    <definedName name="土建30013">[19]土建工程综合单价表!#REF!</definedName>
    <definedName name="土建30014">[19]土建工程综合单价表!#REF!</definedName>
    <definedName name="土建30015">[19]土建工程综合单价表!#REF!</definedName>
    <definedName name="土建30016">[19]土建工程综合单价表!#REF!</definedName>
    <definedName name="土建30017">[19]土建工程综合单价表!#REF!</definedName>
    <definedName name="土建30018">[19]土建工程综合单价表!#REF!</definedName>
    <definedName name="土建30019">[19]土建工程综合单价表!#REF!</definedName>
    <definedName name="土建30020">[19]土建工程综合单价表!#REF!</definedName>
    <definedName name="土建30021">[19]土建工程综合单价表!#REF!</definedName>
    <definedName name="土建30022">[19]土建工程综合单价表!#REF!</definedName>
    <definedName name="土建30023">[19]土建工程综合单价表!#REF!</definedName>
    <definedName name="土建30024">[19]土建工程综合单价表!#REF!</definedName>
    <definedName name="土建30025">[19]土建工程综合单价表!#REF!</definedName>
    <definedName name="土建30026">[19]土建工程综合单价表!#REF!</definedName>
    <definedName name="土建30027">[19]土建工程综合单价表!#REF!</definedName>
    <definedName name="土建30028">[19]土建工程综合单价表!#REF!</definedName>
    <definedName name="土建30029">[19]土建工程综合单价表!#REF!</definedName>
    <definedName name="土建40001">[19]土建工程综合单价表!#REF!</definedName>
    <definedName name="土建50001">[19]土建工程综合单价表!#REF!</definedName>
    <definedName name="土建50002">[19]土建工程综合单价表!#REF!</definedName>
    <definedName name="土建50003">[19]土建工程综合单价表!#REF!</definedName>
    <definedName name="土建50004">[19]土建工程综合单价表!#REF!</definedName>
    <definedName name="土建50005">[19]土建工程综合单价表!#REF!</definedName>
    <definedName name="土建50006">[19]土建工程综合单价表!#REF!</definedName>
    <definedName name="土建50007">[19]土建工程综合单价表!#REF!</definedName>
    <definedName name="土建50008">[19]土建工程综合单价表!#REF!</definedName>
    <definedName name="土建50009">[19]土建工程综合单价表!#REF!</definedName>
    <definedName name="土建50010">[19]土建工程综合单价表!#REF!</definedName>
    <definedName name="土建50010.">[19]土建工程综合单价表!#REF!</definedName>
    <definedName name="土建50011">[19]土建工程综合单价表!#REF!</definedName>
    <definedName name="土建50012">[19]土建工程综合单价表!#REF!</definedName>
    <definedName name="土建50013">[19]土建工程综合单价表!#REF!</definedName>
    <definedName name="土建50014">[19]土建工程综合单价表!#REF!</definedName>
    <definedName name="土建50015">[19]土建工程综合单价表!#REF!</definedName>
    <definedName name="土建50016">[19]土建工程综合单价表!#REF!</definedName>
    <definedName name="土建5010">[19]土建工程综合单价表!#REF!</definedName>
    <definedName name="土建60001">[19]土建工程综合单价表!#REF!</definedName>
    <definedName name="土建60002">[19]土建工程综合单价表!#REF!</definedName>
    <definedName name="土建60003">[19]土建工程综合单价表!#REF!</definedName>
    <definedName name="土建60004">[19]土建工程综合单价表!#REF!</definedName>
    <definedName name="土建60005">[19]土建工程综合单价表!#REF!</definedName>
    <definedName name="土建60006">[19]土建工程综合单价表!#REF!</definedName>
    <definedName name="土建60007">[19]土建工程综合单价表!#REF!</definedName>
    <definedName name="土建60008">[19]土建工程综合单价表!#REF!</definedName>
    <definedName name="土建60009">[19]土建工程综合单价表!#REF!</definedName>
    <definedName name="土建60010">[19]土建工程综合单价表!#REF!</definedName>
    <definedName name="土建60011">[19]土建工程综合单价表!#REF!</definedName>
    <definedName name="土建60012">[19]土建工程综合单价表!#REF!</definedName>
    <definedName name="土建60013">[19]土建工程综合单价表!#REF!</definedName>
    <definedName name="土建60014">[19]土建工程综合单价表!#REF!</definedName>
    <definedName name="土建60015">[19]土建工程综合单价表!#REF!</definedName>
    <definedName name="土建60016">[19]土建工程综合单价表!#REF!</definedName>
    <definedName name="土建60017">[19]土建工程综合单价表!#REF!</definedName>
    <definedName name="土建60018">[19]土建工程综合单价表!#REF!</definedName>
    <definedName name="土建60019">[19]土建工程综合单价表!#REF!</definedName>
    <definedName name="土建60020">[19]土建工程综合单价表!#REF!</definedName>
    <definedName name="土建60021">[19]土建工程综合单价表!#REF!</definedName>
    <definedName name="土建60022">[19]土建工程综合单价表!#REF!</definedName>
    <definedName name="土建60023">[19]土建工程综合单价表!#REF!</definedName>
    <definedName name="土建60024">[19]土建工程综合单价表!#REF!</definedName>
    <definedName name="土建60025">[19]土建工程综合单价表!#REF!</definedName>
    <definedName name="土建60026">[19]土建工程综合单价表!#REF!</definedName>
    <definedName name="土建60027">[19]土建工程综合单价表!#REF!</definedName>
    <definedName name="土建60028">[19]土建工程综合单价表!#REF!</definedName>
    <definedName name="土建60029">[19]土建工程综合单价表!#REF!</definedName>
    <definedName name="土建60030">[19]土建工程综合单价表!#REF!</definedName>
    <definedName name="土建60031">[19]土建工程综合单价表!#REF!</definedName>
    <definedName name="土建60032">[19]土建工程综合单价表!#REF!</definedName>
    <definedName name="土建60033">[19]土建工程综合单价表!#REF!</definedName>
    <definedName name="土建60034">[19]土建工程综合单价表!#REF!</definedName>
    <definedName name="土建60035">[19]土建工程综合单价表!#REF!</definedName>
    <definedName name="土建60036">[19]土建工程综合单价表!#REF!</definedName>
    <definedName name="土建60037">[19]土建工程综合单价表!#REF!</definedName>
    <definedName name="土建60038">[19]土建工程综合单价表!#REF!</definedName>
    <definedName name="土建60039">[19]土建工程综合单价表!#REF!</definedName>
    <definedName name="土建60040">[19]土建工程综合单价表!#REF!</definedName>
    <definedName name="土建60041">[19]土建工程综合单价表!#REF!</definedName>
    <definedName name="土建60042">[19]土建工程综合单价表!#REF!</definedName>
    <definedName name="土建60043">[19]土建工程综合单价表!#REF!</definedName>
    <definedName name="土建60044">[19]土建工程综合单价表!#REF!</definedName>
    <definedName name="土建60045">[19]土建工程综合单价表!#REF!</definedName>
    <definedName name="土建60046">[19]土建工程综合单价表!#REF!</definedName>
    <definedName name="土建60047">[19]土建工程综合单价表!#REF!</definedName>
    <definedName name="土建60048">[19]土建工程综合单价表!#REF!</definedName>
    <definedName name="土建60049">[19]土建工程综合单价表!#REF!</definedName>
    <definedName name="土建60050">[19]土建工程综合单价表!#REF!</definedName>
    <definedName name="土建60051">[19]土建工程综合单价表!#REF!</definedName>
    <definedName name="土建60052">[19]土建工程综合单价表!#REF!</definedName>
    <definedName name="土建60053">[19]土建工程综合单价表!#REF!</definedName>
    <definedName name="土建60054">[19]土建工程综合单价表!#REF!</definedName>
    <definedName name="土建60055">[19]土建工程综合单价表!#REF!</definedName>
    <definedName name="土建60056">[19]土建工程综合单价表!#REF!</definedName>
    <definedName name="土建60057">[19]土建工程综合单价表!#REF!</definedName>
    <definedName name="土建60058">[19]土建工程综合单价表!#REF!</definedName>
    <definedName name="土建60059">[19]土建工程综合单价表!#REF!</definedName>
    <definedName name="土建60060">[19]土建工程综合单价表!#REF!</definedName>
    <definedName name="土建60061">[19]土建工程综合单价表!#REF!</definedName>
    <definedName name="土建60062">[19]土建工程综合单价表!#REF!</definedName>
    <definedName name="土建60063">[19]土建工程综合单价表!#REF!</definedName>
    <definedName name="土建60064">[19]土建工程综合单价表!#REF!</definedName>
    <definedName name="土建60065">[19]土建工程综合单价表!#REF!</definedName>
    <definedName name="土建60066">[19]土建工程综合单价表!#REF!</definedName>
    <definedName name="土建60067">[19]土建工程综合单价表!#REF!</definedName>
    <definedName name="土建60068">[19]土建工程综合单价表!#REF!</definedName>
    <definedName name="土建60069">[19]土建工程综合单价表!#REF!</definedName>
    <definedName name="土建60070">[19]土建工程综合单价表!#REF!</definedName>
    <definedName name="土建60071">[16]土建工程综合单价表!#REF!</definedName>
    <definedName name="土建60072">[16]土建工程综合单价表!#REF!</definedName>
    <definedName name="土建60073">[16]土建工程综合单价表!#REF!</definedName>
    <definedName name="土建60074">[16]土建工程综合单价表!#REF!</definedName>
    <definedName name="土建60075">[16]土建工程综合单价表!#REF!</definedName>
    <definedName name="土建60076">[16]土建工程综合单价表!#REF!</definedName>
    <definedName name="土建60077">[16]土建工程综合单价表!#REF!</definedName>
    <definedName name="土建70001">[16]土建工程综合单价表!#REF!</definedName>
    <definedName name="土建70002">[16]土建工程综合单价表!#REF!</definedName>
    <definedName name="土建70003">[16]土建工程综合单价表!#REF!</definedName>
    <definedName name="土建70004">[16]土建工程综合单价表!#REF!</definedName>
    <definedName name="土建70005">[16]土建工程综合单价表!#REF!</definedName>
    <definedName name="土建70006">[16]土建工程综合单价表!#REF!</definedName>
    <definedName name="土建70007">[16]土建工程综合单价表!#REF!</definedName>
    <definedName name="土建70008">[16]土建工程综合单价表!#REF!</definedName>
    <definedName name="土建70009">[16]土建工程综合单价表!#REF!</definedName>
    <definedName name="土建70010">[16]土建工程综合单价表!#REF!</definedName>
    <definedName name="土建70011">[16]土建工程综合单价表!#REF!</definedName>
    <definedName name="土建70012">[16]土建工程综合单价表!#REF!</definedName>
    <definedName name="土建70013">[16]土建工程综合单价表!#REF!</definedName>
    <definedName name="土建70014">[16]土建工程综合单价表!#REF!</definedName>
    <definedName name="土建70015">[16]土建工程综合单价表!#REF!</definedName>
    <definedName name="土建70016">[16]土建工程综合单价表!#REF!</definedName>
    <definedName name="土建70017">[16]土建工程综合单价表!#REF!</definedName>
    <definedName name="土建70018">[16]土建工程综合单价表!#REF!</definedName>
    <definedName name="土建70019">[16]土建工程综合单价表!#REF!</definedName>
    <definedName name="土建70020">[16]土建工程综合单价表!#REF!</definedName>
    <definedName name="土建70021">[16]土建工程综合单价表!#REF!</definedName>
    <definedName name="土建70022">[16]土建工程综合单价表!#REF!</definedName>
    <definedName name="土建70023">[16]土建工程综合单价表!#REF!</definedName>
    <definedName name="土建70024">[16]土建工程综合单价表!#REF!</definedName>
    <definedName name="土建70025">[16]土建工程综合单价表!#REF!</definedName>
    <definedName name="土建70026">[16]土建工程综合单价表!#REF!</definedName>
    <definedName name="土建70027">[16]土建工程综合单价表!#REF!</definedName>
    <definedName name="土建80001">[16]土建工程综合单价表!#REF!</definedName>
    <definedName name="土建80002">[16]土建工程综合单价表!#REF!</definedName>
    <definedName name="土建80003">[16]土建工程综合单价表!#REF!</definedName>
    <definedName name="土建80004">[16]土建工程综合单价表!#REF!</definedName>
    <definedName name="土建80005">[16]土建工程综合单价表!#REF!</definedName>
    <definedName name="土建80006">[16]土建工程综合单价表!#REF!</definedName>
    <definedName name="土建80007">[16]土建工程综合单价表!#REF!</definedName>
    <definedName name="土建80008">[16]土建工程综合单价表!#REF!</definedName>
    <definedName name="土建80009">[16]土建工程综合单价表!#REF!</definedName>
    <definedName name="土建80010">[16]土建工程综合单价表!#REF!</definedName>
    <definedName name="土建80011">[16]土建工程综合单价表!#REF!</definedName>
    <definedName name="土建80012">[16]土建工程综合单价表!#REF!</definedName>
    <definedName name="土建80013">[16]土建工程综合单价表!#REF!</definedName>
    <definedName name="土建80014">[16]土建工程综合单价表!#REF!</definedName>
    <definedName name="土建80015">[16]土建工程综合单价表!#REF!</definedName>
    <definedName name="土建80016">[16]土建工程综合单价表!#REF!</definedName>
    <definedName name="土建80017">[16]土建工程综合单价表!#REF!</definedName>
    <definedName name="外面砖">[20]施工参考单价报价表!#REF!</definedName>
    <definedName name="外涂">[20]施工参考单价报价表!#REF!</definedName>
    <definedName name="异柱模">[20]施工参考单价报价表!#REF!</definedName>
    <definedName name="主材">'[22]07硬景工程主材单价表'!$C$5:$C$372</definedName>
    <definedName name="桩模">[20]施工参考单价报价表!#REF!</definedName>
    <definedName name="综合单价">[17]管桩主材表!$D$5:$D$7</definedName>
    <definedName name="综合价格">[17]管桩主材表!$D$5:$D$7</definedName>
    <definedName name="asd" localSheetId="0">#REF!</definedName>
    <definedName name="Database" localSheetId="0" hidden="1">#REF!</definedName>
    <definedName name="石材" localSheetId="0">#REF!</definedName>
    <definedName name="_xlnm.Print_Area" localSheetId="0">汇总表!$A$1:$C$9</definedName>
    <definedName name="_xlnm.Print_Titles" localSheetId="1">外场景观标识!$1:$3</definedName>
    <definedName name="_xlnm.Print_Titles" localSheetId="0">汇总表!$1:$3</definedName>
    <definedName name="_xlnm.Print_Titles" localSheetId="2">公区!$1:$3</definedName>
    <definedName name="_xlnm.Print_Titles" localSheetId="3">会所!$1:$3</definedName>
    <definedName name="_xlnm.Print_Titles" localSheetId="4">公园绿地!$1:$3</definedName>
    <definedName name="_xlnm.Print_Titles" localSheetId="5">地库!$1:$3</definedName>
    <definedName name="_xlnm.Print_Titles" localSheetId="6">物业相关!$1:$3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A2B1650528C443E597CA734E04FFC7B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85925" y="1210945"/>
          <a:ext cx="933450" cy="63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C2F0666ABD18421EA55AEF90E914958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343900" y="1516380"/>
          <a:ext cx="1875155" cy="31318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08DF029C062B4257AB0CB7D8445170C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313420" y="5791200"/>
          <a:ext cx="1955165" cy="165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03BF050B46FC48B486F915CD52470C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328660" y="8138160"/>
          <a:ext cx="2630805" cy="22993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78A58073103A40BE969028EFF0F5CDC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336280" y="7579360"/>
          <a:ext cx="814070" cy="1956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BC9D59ADDFD94F21BAED63627DF9570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328660" y="10843260"/>
          <a:ext cx="3599815" cy="3502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172D83460046424FA1681F8E2076DD7F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321040" y="20055840"/>
          <a:ext cx="2351405" cy="26809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74FD0016B7BB4E7CBB80DD53E49AC8E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321040" y="21854160"/>
          <a:ext cx="1489075" cy="3289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D4B3E2479DBC469F8ED59431A78B48B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382000" y="22623780"/>
          <a:ext cx="4092575" cy="1912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0B8E57329ED44DE9B90B257BEED8CCE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336280" y="26121360"/>
          <a:ext cx="2662555" cy="337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43B765E0092344D5BFEEF6E4CFDEDDE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336280" y="39959280"/>
          <a:ext cx="2550160" cy="1035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2698E87E12CA41BD9B3B0E6B7BFFDF9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359140" y="41361360"/>
          <a:ext cx="669290" cy="1323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61563B0F864245A9AA6284E275FED87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833360" y="39236650"/>
          <a:ext cx="1007110" cy="2110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0D1C11F615EB456689C447B5B1B77FC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848600" y="41018460"/>
          <a:ext cx="894715" cy="1687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AEC70C83AA3246409A918AF17E0C11E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336280" y="41888410"/>
          <a:ext cx="755650" cy="2271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8FFBB24A13F649ECA7E20D93E1501B1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343900" y="40134540"/>
          <a:ext cx="2372995" cy="2250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FA8823B5B3044632B387543405C92EE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343900" y="41894760"/>
          <a:ext cx="889000" cy="1662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E4F7A33F3A2248808BB5EE08CCBD4F7F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879080" y="42748200"/>
          <a:ext cx="4093210" cy="19221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2DE0BD47E342488189C3F3C39E9A7EB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840980" y="43472100"/>
          <a:ext cx="2989580" cy="1129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573ACF0B5505401FBD3A469B480123D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840980" y="45232320"/>
          <a:ext cx="1934210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D1B3CBB8D06046868E2AD28DB9065336" descr="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879080" y="45666660"/>
          <a:ext cx="1173480" cy="1177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5DF49DA4AF97463DA7AE1E6FC0F92BA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810500" y="46780450"/>
          <a:ext cx="5300980" cy="1602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1356149775984355AEFE5D1E002602BA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825740" y="274320"/>
          <a:ext cx="2014855" cy="948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C5842B03339C463A8FF1A052C241ABD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833360" y="2971800"/>
          <a:ext cx="2441575" cy="1384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21D698246C454C1895A748DC002AF67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795260" y="6758940"/>
          <a:ext cx="1433830" cy="1507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0CFE4D482D084EBAA0986CEC0B8433C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840980" y="11910060"/>
          <a:ext cx="2195195" cy="1902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F488D321D81B46A7B028D18B36F6C3C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818120" y="14188440"/>
          <a:ext cx="2433320" cy="1040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CBEB0BB3EB574A96B8511E78B1F49F6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695450" y="8458200"/>
          <a:ext cx="2144395" cy="189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BC85FD62FF6E4EB8ABB13384CA2E542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373100" y="8448675"/>
          <a:ext cx="2110105" cy="1386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23D239704A814707A3C9888B52ED5FF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780020" y="15506700"/>
          <a:ext cx="1203960" cy="1597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00525C95CAF34C69A1FFDCA97B413A4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833360" y="17487900"/>
          <a:ext cx="1901190" cy="794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101D7C8CA462495B9BAD36786593BE8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406640" y="5074920"/>
          <a:ext cx="1219200" cy="1281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6" name="ID_A15EDF97A0B0465C8D9C50E968BE6F3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360920" y="3009900"/>
          <a:ext cx="1687830" cy="1563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8" name="ID_07A03B52D995488F85BD1F1E9BCFD70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353300" y="2522220"/>
          <a:ext cx="1689735" cy="1673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9" name="ID_DDC6CA66035F491C9943324F48BBDF4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368540" y="4678680"/>
          <a:ext cx="787400" cy="1077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" name="ID_858F9A1A6A694E84B56874E57539015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414260" y="8343900"/>
          <a:ext cx="2268220" cy="965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0" name="ID_5508394185654FE9B75294202AEAFCB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421880" y="7200900"/>
          <a:ext cx="2149475" cy="842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7849" name="ID_D896BCCBFB1C4C4B82F60BA19A92A40A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974965" y="16590645"/>
          <a:ext cx="1896110" cy="788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7860" name="ID_60FC7410B50D41D4AAC62CCE30046A0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293100" y="16465550"/>
          <a:ext cx="1515110" cy="2024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A7C32E9944674162B93598D6C422A745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376160" y="13274040"/>
          <a:ext cx="1860550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D76A948BD92F4FABB73D764357E4D14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399020" y="11201400"/>
          <a:ext cx="1206500" cy="1885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6" name="ID_6C596BE9027C4CC69F3140E56892F7EB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437120" y="17145000"/>
          <a:ext cx="2317115" cy="993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5" name="ID_A6742852858347F1A6B671F2DB56FC5F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360920" y="15681960"/>
          <a:ext cx="1772285" cy="25444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7" name="ID_3D218A7B1CD14A37AF71642463553A5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345680" y="19408140"/>
          <a:ext cx="2217420" cy="1497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9" name="ID_83AFDED4948F4455B01DEC0CD8E9361D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376160" y="21869400"/>
          <a:ext cx="1942465" cy="1680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8" name="ID_0CEDFE54A3B448509D76321C59BB1E6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360920" y="20673060"/>
          <a:ext cx="960120" cy="1163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0" name="ID_F378C26974DA4C3DB06B5D9E925F98D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414260" y="23111460"/>
          <a:ext cx="1125855" cy="2210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1" name="ID_B811BBA649F2490B819AD0B2B164E18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353300" y="24300180"/>
          <a:ext cx="2188210" cy="966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3" name="ID_3661BD094B834FA19FE8EC2C6146501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399020" y="23461980"/>
          <a:ext cx="2244725" cy="1276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2" name="ID_D926406CA5C64A04B2A5DBAEF9B71A6C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399020" y="21556980"/>
          <a:ext cx="1584960" cy="9632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4" name="ID_E101C52CA85C454FB50829A2CE22E99B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391400" y="24704040"/>
          <a:ext cx="1127760" cy="11982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5" name="ID_9C4CF7AE0718444FA4875A8F7C5EA70E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376160" y="25892760"/>
          <a:ext cx="2225040" cy="1310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6" name="ID_CDDB4DE3F85D478D94C1B0697DBD6CDF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391400" y="27127200"/>
          <a:ext cx="2073910" cy="466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7" name="ID_C66D4514429D498598434A25C6D2D9A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368540" y="28399740"/>
          <a:ext cx="1470660" cy="1062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E2384B7C7E064F709494171E8B9EABC4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360920" y="29550360"/>
          <a:ext cx="1295400" cy="179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9" name="ID_9B77DA8A67A04A46B55DD0D0842AF3F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383780" y="30792420"/>
          <a:ext cx="2132330" cy="1449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8" name="ID_A3CF8625760B45CBADD247487EFC92F2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391400" y="4236720"/>
          <a:ext cx="1055370" cy="18326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663CED5B10FA49329A645CDEB5AC010F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676400" y="2507615"/>
          <a:ext cx="1114425" cy="161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6" name="ID_D39934019D694D0BBD91615B3AEF875A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360920" y="7993380"/>
          <a:ext cx="958215" cy="1680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4" name="ID_AAAE2F0B5AA043E5AB5EF328BA63B383" descr="截屏2024-04-15 15.40.0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368540" y="23478490"/>
          <a:ext cx="2282190" cy="1511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3" name="ID_20095F7AF768425AAC18F3F92B01809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383780" y="21686520"/>
          <a:ext cx="2365375" cy="2252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5" name="ID_A44752A197BF4A958783F1B0FF798A4C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399020" y="22571710"/>
          <a:ext cx="2115820" cy="1038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9" name="ID_E04DC2827E2C4D6D9A9E6B385A375EC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421880" y="792480"/>
          <a:ext cx="4008120" cy="6997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1" name="ID_20704AD7E0714EC2A3C993B9FFD989F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421880" y="3116580"/>
          <a:ext cx="2940050" cy="876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2" name="ID_E6533FE82B864B82A1BC9E2A33FD9E7E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421880" y="4785360"/>
          <a:ext cx="3055620" cy="753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26E9D86B3D9044D69A4EBA20ABF3794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306050" y="5705475"/>
          <a:ext cx="4400550" cy="7924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8" name="ID_7C05BF11A49B4C578A19D8D69427262A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360920" y="8275320"/>
          <a:ext cx="859155" cy="1273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3" name="ID_3A4BDD10596F4747AF042604BBBADBB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353300" y="9862820"/>
          <a:ext cx="1149350" cy="1010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5" name="ID_113F1F949F154E14B4F5704BA5BF2848" descr="截屏2024-04-26 09.54.2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391400" y="12138660"/>
          <a:ext cx="2323465" cy="1449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1" name="ID_9BA541A3FA624ACCB0FF3155F9DDD4CE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376160" y="13799820"/>
          <a:ext cx="1783080" cy="1144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3" name="ID_826B0A6A7C0942118AEDC7A1434EABD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376160" y="16626840"/>
          <a:ext cx="1782445" cy="1144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4" name="ID_0E5EC37A8AB441418F15D53FD05EADE0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368540" y="17830800"/>
          <a:ext cx="906145" cy="1228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3" name="ID_EF936F2C7626491FB5F35F70C94DF12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7383780" y="18394680"/>
          <a:ext cx="906780" cy="1048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1" name="ID_F1F9C5C456BC4053A775650CB3F6990A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414260" y="18775680"/>
          <a:ext cx="2736215" cy="1504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0" name="ID_D1BDCF32E63845049ADF7B5284AD00B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376160" y="19651980"/>
          <a:ext cx="1634490" cy="768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3" name="ID_736408427EDE4FF9AB2F512357B9193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368540" y="22532340"/>
          <a:ext cx="787400" cy="1162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1" name="ID_74B7E1C3DD424A0790DBB31E1AC45D4F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376160" y="22966680"/>
          <a:ext cx="1017270" cy="1188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3" name="ID_4BDCDB8C5FEA41E385EE125F981ABBEF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406640" y="24841200"/>
          <a:ext cx="3982720" cy="664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6" name="ID_27A563E7442C4AF2A655C774FE5E410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421880" y="487680"/>
          <a:ext cx="2189480" cy="962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B1B278A5FEEB4747922F997977E62693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7368540" y="1645920"/>
          <a:ext cx="1841500" cy="11982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4" name="ID_849FE0B8A6F04E5194A251EC57B9D670"/>
        <xdr:cNvPicPr/>
      </xdr:nvPicPr>
      <xdr:blipFill>
        <a:blip r:embed="rId75"/>
        <a:stretch>
          <a:fillRect/>
        </a:stretch>
      </xdr:blipFill>
      <xdr:spPr>
        <a:xfrm>
          <a:off x="1028700" y="2827020"/>
          <a:ext cx="2237105" cy="886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8" name="ID_73E7E20CAF11439FB6ABD21A53AA344B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368540" y="3230880"/>
          <a:ext cx="1339215" cy="996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9" name="ID_21C6A907EAC348AABADA0E9AA9E69C0A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406640" y="4457700"/>
          <a:ext cx="1894205" cy="615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3" name="ID_523C61235C8549A1B4DF8787193D5F91" descr="post_object_image_2082287301"/>
        <xdr:cNvPicPr/>
      </xdr:nvPicPr>
      <xdr:blipFill>
        <a:blip r:embed="rId78"/>
        <a:stretch>
          <a:fillRect/>
        </a:stretch>
      </xdr:blipFill>
      <xdr:spPr>
        <a:xfrm>
          <a:off x="0" y="0"/>
          <a:ext cx="4648200" cy="3305175"/>
        </a:xfrm>
        <a:prstGeom prst="rect">
          <a:avLst/>
        </a:prstGeom>
      </xdr:spPr>
    </xdr:pic>
  </etc:cellImage>
  <etc:cellImage>
    <xdr:pic>
      <xdr:nvPicPr>
        <xdr:cNvPr id="340" name="ID_5834EE39CBE644A78AF8EEF34F410ABB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376160" y="5661660"/>
          <a:ext cx="2245360" cy="747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2" name="ID_CDE59F8813404CA7A282363CA8F0EB0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391400" y="8084820"/>
          <a:ext cx="2266950" cy="854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1" name="ID_0BF1592AC09D4270B0F000BB45B83F6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399020" y="6858000"/>
          <a:ext cx="2022475" cy="675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3" name="ID_E8F800D0D2664814BD21DC4958DCA49F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399020" y="9334500"/>
          <a:ext cx="1828165" cy="704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5" name="ID_0ED05099E83D4CCB9704E79393C0084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353300" y="11742420"/>
          <a:ext cx="2338070" cy="1134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4" name="ID_166D098B9051456EA38E7E463C455AEF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414260" y="10530840"/>
          <a:ext cx="2256155" cy="742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6" name="ID_8F4F03E51912422C87BB132ACF6038F8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383780" y="12954000"/>
          <a:ext cx="2211070" cy="1144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7" name="ID_47BA8F1D76F6423192718413BB4B0698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383780" y="14173200"/>
          <a:ext cx="2195195" cy="1102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4" name="ID_8587CC545BB54F39858DB45898B84611" descr="post_object_image_115476764"/>
        <xdr:cNvPicPr/>
      </xdr:nvPicPr>
      <xdr:blipFill>
        <a:blip r:embed="rId87"/>
        <a:stretch>
          <a:fillRect/>
        </a:stretch>
      </xdr:blipFill>
      <xdr:spPr>
        <a:xfrm>
          <a:off x="0" y="0"/>
          <a:ext cx="2324100" cy="1847850"/>
        </a:xfrm>
        <a:prstGeom prst="rect">
          <a:avLst/>
        </a:prstGeom>
      </xdr:spPr>
    </xdr:pic>
  </etc:cellImage>
  <etc:cellImage>
    <xdr:pic>
      <xdr:nvPicPr>
        <xdr:cNvPr id="545" name="ID_72A8CE9514004015978F2F7903D958EB" descr="post_object_image_727728159"/>
        <xdr:cNvPicPr/>
      </xdr:nvPicPr>
      <xdr:blipFill>
        <a:blip r:embed="rId88"/>
        <a:stretch>
          <a:fillRect/>
        </a:stretch>
      </xdr:blipFill>
      <xdr:spPr>
        <a:xfrm>
          <a:off x="0" y="0"/>
          <a:ext cx="2743200" cy="1200150"/>
        </a:xfrm>
        <a:prstGeom prst="rect">
          <a:avLst/>
        </a:prstGeom>
      </xdr:spPr>
    </xdr:pic>
  </etc:cellImage>
  <etc:cellImage>
    <xdr:pic>
      <xdr:nvPicPr>
        <xdr:cNvPr id="548" name="ID_3F37ECCE6D6D4A269B36E43E5C5163C0" descr="post_object_image_1644703662"/>
        <xdr:cNvPicPr/>
      </xdr:nvPicPr>
      <xdr:blipFill>
        <a:blip r:embed="rId89"/>
        <a:stretch>
          <a:fillRect/>
        </a:stretch>
      </xdr:blipFill>
      <xdr:spPr>
        <a:xfrm>
          <a:off x="0" y="0"/>
          <a:ext cx="1276350" cy="5495925"/>
        </a:xfrm>
        <a:prstGeom prst="rect">
          <a:avLst/>
        </a:prstGeom>
      </xdr:spPr>
    </xdr:pic>
  </etc:cellImage>
  <etc:cellImage>
    <xdr:pic>
      <xdr:nvPicPr>
        <xdr:cNvPr id="547" name="ID_69AAEB5AA335460881F77C13F190292D" descr="post_object_image_2295751411"/>
        <xdr:cNvPicPr/>
      </xdr:nvPicPr>
      <xdr:blipFill>
        <a:blip r:embed="rId90"/>
        <a:stretch>
          <a:fillRect/>
        </a:stretch>
      </xdr:blipFill>
      <xdr:spPr>
        <a:xfrm>
          <a:off x="0" y="0"/>
          <a:ext cx="333375" cy="1381125"/>
        </a:xfrm>
        <a:prstGeom prst="rect">
          <a:avLst/>
        </a:prstGeom>
      </xdr:spPr>
    </xdr:pic>
  </etc:cellImage>
  <etc:cellImage>
    <xdr:pic>
      <xdr:nvPicPr>
        <xdr:cNvPr id="546" name="ID_7895B5961AEF470299DCB5F01A61BDD7" descr="post_object_image_2454306782"/>
        <xdr:cNvPicPr/>
      </xdr:nvPicPr>
      <xdr:blipFill>
        <a:blip r:embed="rId91"/>
        <a:stretch>
          <a:fillRect/>
        </a:stretch>
      </xdr:blipFill>
      <xdr:spPr>
        <a:xfrm>
          <a:off x="0" y="0"/>
          <a:ext cx="3190875" cy="2428875"/>
        </a:xfrm>
        <a:prstGeom prst="rect">
          <a:avLst/>
        </a:prstGeom>
      </xdr:spPr>
    </xdr:pic>
  </etc:cellImage>
  <etc:cellImage>
    <xdr:pic>
      <xdr:nvPicPr>
        <xdr:cNvPr id="15" name="ID_A8392A2C88B644BF832075EEE49E6F6E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666875" y="19023330"/>
          <a:ext cx="635000" cy="960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243F2B73A49A41AEBD819153EDE3BF8B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581150" y="19460845"/>
          <a:ext cx="1504950" cy="14224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<sst xmlns="http://schemas.openxmlformats.org/spreadsheetml/2006/main" count="1021" uniqueCount="457">
  <si>
    <t>标识标牌采购及安装清单</t>
  </si>
  <si>
    <t>工程名称：中吴大道南侧、南运河西侧（HX070212-01）地块开发项目设计、采购、施工工程总承包（EPC一体化）装饰工程</t>
  </si>
  <si>
    <t>序号</t>
  </si>
  <si>
    <t>工程名称</t>
  </si>
  <si>
    <t>备注</t>
  </si>
  <si>
    <t>外场景观标识</t>
  </si>
  <si>
    <t>公区标识</t>
  </si>
  <si>
    <t>会所标识</t>
  </si>
  <si>
    <t>公园绿地标识</t>
  </si>
  <si>
    <t>地库标识</t>
  </si>
  <si>
    <t>物业相关标识</t>
  </si>
  <si>
    <t>外场景观标识采购及安装清单</t>
  </si>
  <si>
    <t>编号</t>
  </si>
  <si>
    <t>图名</t>
  </si>
  <si>
    <t>图例</t>
  </si>
  <si>
    <t>材质工艺</t>
  </si>
  <si>
    <t>规格</t>
  </si>
  <si>
    <t>单/双面</t>
  </si>
  <si>
    <t>安装方式</t>
  </si>
  <si>
    <t>照明</t>
  </si>
  <si>
    <t>布置要求</t>
  </si>
  <si>
    <t>单位</t>
  </si>
  <si>
    <t>数量</t>
  </si>
  <si>
    <t>A05</t>
  </si>
  <si>
    <t>形象门匾</t>
  </si>
  <si>
    <t>35mm铝板雕刻底板，仿黄铜乱纹微做旧边框看20mm，中间下凹10mm造型，烤漆深灰色
20mm铝板雕刻底板，边框阳刻看面7mm，仿黄铜乱纹微做旧中间下凹3mm烤漆深灰色
30mm厚铝板雕刻扣件造型，仿黄铜乱纹微做旧
15mm厚铝板尖锥形雕刻，表面仿黄铜乱纹微做旧效果背面铣槽，背衬8mm磨砂亚克力板,外凸5mm内置防水LED光源，色温3500K，背发光；10mm铝板雕刻造型,锤纹效果，仿黄铜乱纹微做旧
表述尺寸均为完成面尺寸，材料厚度以深化效果为准
满足设计要求及验收规范要求，最终实施以项目部签字为准</t>
  </si>
  <si>
    <t>1560*400如园</t>
  </si>
  <si>
    <t>单</t>
  </si>
  <si>
    <t>门楣上方悬挂</t>
  </si>
  <si>
    <t>内部照明，标识发光</t>
  </si>
  <si>
    <t>主要大门入口各设置1个</t>
  </si>
  <si>
    <t>块</t>
  </si>
  <si>
    <t>供电由甲方按乙方要求提供电源点位，外部照明+内部照明，标识发光单独一路电，总时控开关</t>
  </si>
  <si>
    <t>A09</t>
  </si>
  <si>
    <t>园区导览图</t>
  </si>
  <si>
    <t>铝板雕刻端头，仿黄铜乱纹做旧
1.2mm不锈钢折边焊接，表面金属烤漆深灰色文字丝网印刷
建筑部分面板激光雕刻镂空，背衬磨砂亚克力板，外凸3mm表面5mm厚铝板雕刻粘接，表面仿黄铜乱纹微做旧内置防水LED光源，色温3500K道路蚀刻填漆:
平面图整体15mm厚铝板雕刻，金属烤漆深灰色中间阴刻下凹10mm
铝板一体雕刻，仿黄铜乱纹做旧
文字内容丝网印刷
15*15mm铝板雕刻造型，仿黄铜乱纹做旧
logo蚀刻填漆
内部钢结构，表面挂10mm岩板造型
8*15mm宽度铝板雕刻造型，仿黄铜乱纹做旧，两侧铣槽内藏防水LED光源，表面亚克力灯罩嵌平色温3500K，回光效果
表述尺寸均为完成面尺寸，材料厚度以深化效果为准
满足设计要求及验收规范要求，最终实施以项目部签字为准</t>
  </si>
  <si>
    <t>480*1500</t>
  </si>
  <si>
    <t>预埋基础</t>
  </si>
  <si>
    <t>A23</t>
  </si>
  <si>
    <t>洋房楼幢号</t>
  </si>
  <si>
    <t>表面1.2mm厚不锈钢围边尖锥形立体字厚度20mm仿黄铜乱纹微做旧
1.2mm厚不锈钢围边立体字围边厚度30mm金属烤漆深灰色
表述尺寸均为完成面尺寸，材料厚度以深化效果为准
安装方式以现场确认为准
满足设计要求及验收规范要求，最终实施以项目部签字为准</t>
  </si>
  <si>
    <t>510*400</t>
  </si>
  <si>
    <t>建筑嵌入</t>
  </si>
  <si>
    <t>/</t>
  </si>
  <si>
    <t>每个楼栋东西山墙各一处</t>
  </si>
  <si>
    <t>处</t>
  </si>
  <si>
    <t>A15</t>
  </si>
  <si>
    <t>户外宣传栏</t>
  </si>
  <si>
    <t>1.2mm厚不锈钢折边焊接，表面金属烤漆深灰色底部开槽内置LED灯带,表面亚克力灯罩嵌平，色温3500K
文字丝网印刷
1.2mm厚不锈钢折边焊接，侧厚50mm，表面金属烤漆深灰色
1.2mm厚不锈钢折边焊接，侧厚50mm，金属烤漆深灰色
5mm厚超清钢化玻璃，正面开启方式更换内容
logo丝网印刷
80*80镀锌管烤漆
表述尺寸均为完成面尺寸，材料厚度以深化效果为准
满足设计要求及验收规范要求，最终实施以项目部签字为准</t>
  </si>
  <si>
    <t>2520*2100</t>
  </si>
  <si>
    <t>供电由甲方按乙方要求提供电源点位，内部照明，标识发光单独一路电，总时控开关</t>
  </si>
  <si>
    <t>A04</t>
  </si>
  <si>
    <t>人行指引立牌</t>
  </si>
  <si>
    <t>1.2mm不锈钢折边焊接造型，金属烤漆深灰色
下凹8mm造型，5mm岩板雕刻镶嵌
英文丝网印刷
中文、箭头横线部分5mm铝板尖锥形雕刻，表面仿黄铜乱纹微做旧效果
1.2mm不锈钢折边焊接造型，金属烤漆深灰色
1.2mm不锈钢折边焊接下凹5mm造型，仿黄铜乱纹微做旧
1.2mm不锈钢折边焊接造型，金属烤漆深灰色
logo丝网印刷
1.2mm不锈钢折边套接造型，仿黄铜乱纹微做旧
表述尺寸均为完成面尺寸，材料厚度以深化效果为准
满足设计要求及验收规范要求，最终实施以项目部签字为准</t>
  </si>
  <si>
    <t>350*1800</t>
  </si>
  <si>
    <t>直埋</t>
  </si>
  <si>
    <t>小区入口及遇交叉道路一侧设置一</t>
  </si>
  <si>
    <t>A02-1</t>
  </si>
  <si>
    <t>停车指示立牌(双面）</t>
  </si>
  <si>
    <t>黄铜管：1.2mm不锈钢折边焊接端头造型，
仿黄铜乱纹微做旧
字体：15mm厚铝板尖锥形雕刻，表面仿黄铜乱纹微做旧效果
背面铣槽，背衬10mm磨砂亚克力板,外凸8mm
内置防水LED光源，色温3500K，背发光
中英文、箭头部分背板镂空，内衬磨砂亚克力，外凸3mm
表面5mm铝板尖锥形雕刻，粘接
内置防水LED光源，色温3500K，透光效果
背后检修口示意
红线部分：1.2mm不锈钢折边焊接造型，烤漆深灰色
红线位置开槽示意，内藏防水LED光源，表面亚克力灯罩嵌平，
色温3500K,回光效果
边框：1.2mm不锈钢折边焊接造型，烤漆深灰色
深色龙头：1.2mm不锈钢折边焊接造型，纹样造型阴刻效果，烤漆深灰色
logo下方面板：15mm铝板激光雕刻造型，仿黄铜乱纹微做旧
logo丝网印刷
奢石部分：10mm岩板雕刻底板造型镶嵌
浅色灯带边框：1.2mm不锈钢折边焊接造型，
仿黄铜乱纹微做旧
灯带：15*20mm宽度铝板雕刻造型，两侧铣槽
内藏防水LED光源，表面亚克力灯罩嵌平
色温3500K，回光效果
表述尺寸均为完成面尺寸，材料厚度以深化效果为准
满足设计要求及验收规范要求，最终实施以项目部签字为准</t>
  </si>
  <si>
    <t>410*2200</t>
  </si>
  <si>
    <t>双</t>
  </si>
  <si>
    <t>每个机动车坡道口一个</t>
  </si>
  <si>
    <t>A04-1</t>
  </si>
  <si>
    <t>巷道指引牌</t>
  </si>
  <si>
    <t>UV仿石纹
8mm厚铝板尖锥形雕刻
表面仿黄铜乱纹微做旧深色部分仿黄铜深做旧
5mm厚铝板尖锥形雕刻表面仿黄铜乱纹微做旧深色部分仿黄铜深做旧
栖棠巷，榴香巷，丹枫巷，松影巷，桂芳巷，樱歌巷，荆云巷，锦薇巷，繁花巷，碧桃巷，雪梅巷
表述尺寸均为完成面尺寸，材料厚度以深化效果为准
满足设计要求及验收规范要求，最终实施以项目部签字为准</t>
  </si>
  <si>
    <t>140*350</t>
  </si>
  <si>
    <t>景墙悬挂</t>
  </si>
  <si>
    <t>每个巷道1组</t>
  </si>
  <si>
    <t>A03</t>
  </si>
  <si>
    <t>非机动车停车处牌</t>
  </si>
  <si>
    <t>1.2mm不锈钢折边焊接端头造型，仿黄铜乱纹微做旧
8mm厚铝板尖锥形雕刻，表面仿黄铜乱纹微做旧效果
中文、箭头部分5mm铝板尖锥形雕刻，表面仿黄铜乱纹微做旧效果英文丝网印刷
1.2mm不锈钢折边焊接造型，金属烤漆深灰色
1.2mm不锈钢折边焊接造型，金属烤漆深灰色
1.2mm不锈钢折边焊接造型，纹样造型阴刻效果，金属烤漆深灰色
logo丝网印刷
10mm铝板激光雕刻造型，仿黄铜乱纹微做旧
8mm岩板雕刻底板造型镶嵌
1.2mm不锈钢折边焊接造型，侧厚8mm仿黄铜乱纹微做旧
12*20mm宽度铝板雕刻造型
表述尺寸均为完成面尺寸，材料厚度以深化效果为准
满足设计要求及验收规范要求，最终实施以项目部签字为准</t>
  </si>
  <si>
    <t>335*1800</t>
  </si>
  <si>
    <t>每个非机动车坡道口1个</t>
  </si>
  <si>
    <t>A24</t>
  </si>
  <si>
    <t>洋房单元门牌</t>
  </si>
  <si>
    <t>仿石材雕刻立体字
1.2厚不锈钢底框，面层喷涂仿石漆
表述尺寸均为完成面尺寸，材料厚度以深化效果为准
满足设计要求及验收规范要求，最终实施以项目部签字为准</t>
  </si>
  <si>
    <t>1320*155</t>
  </si>
  <si>
    <t>贴面</t>
  </si>
  <si>
    <t>多层住宅每个单元入口设置1个</t>
  </si>
  <si>
    <t>A22</t>
  </si>
  <si>
    <t>联排入户门牌</t>
  </si>
  <si>
    <t>锤纹效果，仿黄铜乱纹微做旧
面板镂空，摄像头孔位，镂空尺寸(43mm*14mm)15mm铝板整体雕刻，仿黄铜乱纹深做旧
5mm铝板尖锥形雕刻，仿黄铜乱纹微做旧
铝板雕刻造型门板，金属烤漆深灰色侧面磁吸开启方式
边框外凸2mm，仿黄铜乱纹微做旧内凹12mm,5mm岩板雕刻镶嵌
logo丝网印刷
边框外凸2mm，仿黄铜乱纹深做旧
表述尺寸均为完成面尺寸，材料厚度以深化效果为准
满足设计要求及验收规范要求，最终实施以项目部签字为准</t>
  </si>
  <si>
    <t>155*250</t>
  </si>
  <si>
    <t>联排合院，每个入口1个</t>
  </si>
  <si>
    <t>A16</t>
  </si>
  <si>
    <t>非机动车坡道温馨提示</t>
  </si>
  <si>
    <t>图文内容丝网印刷
1.2mm不锈钢折边焊接造型，金属烤漆深灰色
表述尺寸均为完成面尺寸，材料厚度以深化效果为准
满足设计要求及验收规范要求，最终实施以项目部签字为准</t>
  </si>
  <si>
    <t>600*190</t>
  </si>
  <si>
    <t>每个非机动车坡道口2个</t>
  </si>
  <si>
    <t>A14-1</t>
  </si>
  <si>
    <t>树铭牌</t>
  </si>
  <si>
    <t>6mm铝板雕刻造型，仿黄铜乱纹微做旧打孔吊挂，上方成品配饰
3mm铝板雕刻造型，金属烤漆深灰色
5mm铝板雕刻造型，石纹转印，内容丝网印刷,磨砂质感
表述尺寸均为完成面尺寸，材料厚度以深化效果为准
满足设计要求及验收规范要求，最终实施以项目部签字为准</t>
  </si>
  <si>
    <t>56*200</t>
  </si>
  <si>
    <t>悬吊</t>
  </si>
  <si>
    <t>根据甲方要求每个大型乔木，造型植物1个</t>
  </si>
  <si>
    <t>字最后以项目提供清单制作安装</t>
  </si>
  <si>
    <t>A14-3</t>
  </si>
  <si>
    <t>12mm厚铝板雕刻,表面仿黄铜乱纹微做旧非内容部分阴刻烤漆深灰色
文字外凸，表面仿黄铜乱纹微做旧
中15mm不锈钢圆管支架，表面仿黄铜乱纹微做旧
1.2mm厚不锈钢板折边焊接，烤漆深灰色
表述尺寸均为完成面尺寸，材料厚度以深化效果为准
满足设计要求及验收规范要求，最终实施以项目部签字为准</t>
  </si>
  <si>
    <t>105*600</t>
  </si>
  <si>
    <t>A14-2</t>
  </si>
  <si>
    <t>6mm铝板雕刻造型，仿黄铜乱纹微做旧打孔吊挂，上方成品配饰
3mm铝板雕刻造型，金属烤漆深灰色
5mm铝板雕刻造型，内容丝网印刷
表述尺寸均为完成面尺寸，材料厚度以深化效果为准
满足设计要求及验收规范要求，最终实施以项目部签字为准</t>
  </si>
  <si>
    <t>A26</t>
  </si>
  <si>
    <t>公共设施须知牌</t>
  </si>
  <si>
    <t>5mm铝板雕刻造型，仿黄铜乱纹微做旧
1.2mm厚不锈钢板折边焊接，表面烤漆深灰色信息内容丝网印刷
底部颜色烤漆，10mm岩板雕刻造型粘接
1.2mm厚不锈钢板折边焊接，表面烤漆深灰色信息内容丝网印刷
1.2mm厚不锈钢板折边焊接，表面烤漆深灰色信息内容丝网印刷
表述尺寸均为完成面尺寸，材料厚度以深化效果为准
满足设计要求及验收规范要求，最终实施以项目部签字为准</t>
  </si>
  <si>
    <t>330*1450</t>
  </si>
  <si>
    <t>每个重要景观节点，及活动场地1个</t>
  </si>
  <si>
    <t>A10</t>
  </si>
  <si>
    <t>室外垃圾桶</t>
  </si>
  <si>
    <t>1.2mm厚不锈钢板折边焊接，表面金属烤漆深灰色
logo丝网印刷
5mm铝板雕刻线条造型，仿黄铜乱纹微做旧
垃圾桶内胆示意
垃圾投递口
面板镂空，不锈钢折边装饰效果，灭烟口上方图案丝网印刷
图案丝网印刷
1.2mm厚不锈钢板折边焊接，表面金属烤漆深灰色
3mm铝板雕刻造型，表面仿黄铜乱纹微做旧10mm岩板雕刻镶嵌
图文丝网印刷
1.2mm厚不锈钢板折边焊接，深色部分表面金属烤漆深灰色/仿黄铜乱纹做旧
表述尺寸均为完成面尺寸，材料厚度以深化效果为准
满足设计要求及验收规范要求，最终实施以项目部签字为准</t>
  </si>
  <si>
    <t>612*800</t>
  </si>
  <si>
    <t>摆放</t>
  </si>
  <si>
    <t>套</t>
  </si>
  <si>
    <t>A20</t>
  </si>
  <si>
    <t>宠物便箱</t>
  </si>
  <si>
    <t>3mm铝板激光雕刻，仿黄铜乱纹微做旧
文字内容丝网印刷，2mm铝板雕刻装饰线条仿黄铜乱纹微做旧
垃圾袋抽取处
logo丝网印刷
1.2mm厚不锈钢板折边焊接,金属烤漆深灰色
1.2mm厚不锈钢板折边焊接,石纹转印
表述尺寸均为完成面尺寸，材料厚度以深化效果为准
满足设计要求及验收规范要求，最终实施以项目部签字为准</t>
  </si>
  <si>
    <t>230*900</t>
  </si>
  <si>
    <t>A12</t>
  </si>
  <si>
    <t>花草牌</t>
  </si>
  <si>
    <t>中6mm实心圆管，头部车螺纹，插入地面固定
8mm厚铝板雕刻，仿黄铜乱纹微做旧
10mm厚铝板雕刻，深色部分仿黄铜乱纹做旧，浅色微做旧
5mm厚铝板雕刻，深色部分仿黄铜乱纹做旧浅色微做旧图文内容丝网印
表述尺寸均为完成面尺寸，材料厚度以深化效果为准
满足设计要求及验收规范要求，最终实施以项目部签字为准</t>
  </si>
  <si>
    <t>400*100</t>
  </si>
  <si>
    <t>根据甲方要求每个景观节点1个，每个巷道1个</t>
  </si>
  <si>
    <t>A17</t>
  </si>
  <si>
    <t>常闭消防门</t>
  </si>
  <si>
    <t>1.5mm铝板激光雕刻造型，金属烤漆深灰色，内容丝网印刷
表述尺寸均为完成面尺寸，材料厚度以深化效果为准
满足设计要求及验收规范要求，最终实施以项目部签字为准</t>
  </si>
  <si>
    <t>200*60</t>
  </si>
  <si>
    <t>每个外场消防通道门1个</t>
  </si>
  <si>
    <t>A13-1</t>
  </si>
  <si>
    <t>温馨提示-小心台阶</t>
  </si>
  <si>
    <t>1.5mm厚铝板金属烤漆，文字内容边框部分阳刻，仿黄铜乱纹微做旧，中间填漆深灰色
表述尺寸均为完成面尺寸，材料厚度以深化效果为准
满足设计要求及验收规范要求，最终实施以项目部签字为准</t>
  </si>
  <si>
    <t>150*150</t>
  </si>
  <si>
    <t>根据甲方要求每遇水，遇台阶，桥面，或有地形处等位置至少设置2个</t>
  </si>
  <si>
    <t>A13-2</t>
  </si>
  <si>
    <t>温馨提示-禁止嬉水</t>
  </si>
  <si>
    <t>室外消防禁停标志</t>
  </si>
  <si>
    <t>贴纸保证验收通过，通过后撕除
保证消防验收通过
表述尺寸均为完成面尺寸，材料厚度以深化效果为准
满足设计要求及验收规范要求，最终实施以项目部签字为准</t>
  </si>
  <si>
    <t>63.3*10米(个）
线宽150</t>
  </si>
  <si>
    <t>根据消防要求设置</t>
  </si>
  <si>
    <t>组</t>
  </si>
  <si>
    <t>保证消防验收通过</t>
  </si>
  <si>
    <t>A01</t>
  </si>
  <si>
    <t>城市界面形象</t>
  </si>
  <si>
    <t>底部螺杆：1.2mm不锈钢折边焊接底座，
金属烤漆深灰色
字体：1.2mm不锈钢折边焊接字壳，侧厚80mm，金属烤漆深灰色
边框看面10mm宽，中间下凹15mm造型
直径15mm镀锌圆管
金属烤漆深灰色
1.2mm不锈钢折边焊接尖锥字壳，
侧厚30mm，仿黄铜乱纹微做旧
背衬10mm磨砂亚克力，内置防水LED光源，
背发光，色温3500K
1.2mm不锈钢折边焊接尖锥形，
侧厚30mm，仿黄铜乱纹微做旧
背衬10mm磨砂亚克力，内置防水LED光源，
背发光，色温3500K
15mm铝板雕刻尖锥字造型，仿黄铜乱纹微做旧
背面铣槽，背衬10mm磨砂亚克力，外露8mm
内置防水LED光源，背发光，色温3500K
1.2mm不锈钢折边焊接造型，仿黄铜乱纹做旧
30mm铝板雕刻造型，金属烤漆深灰色
边框看面5mm宽，中间下凹10mm造型
1.2mm不锈钢折边焊接字壳，侧厚80mm，金属烤漆深灰色
边框看面10mm宽，中间下凹15mm造型
1.2mm不锈钢折边焊接字壳，仿黄铜乱纹做旧，侧厚80mm，
中间开槽宽度15mm，下凹5mm造型
表述尺寸均为完成面尺寸，材料厚度以深化效果为准
满足设计要求及验收规范要求，最终实施以项目部签字为准</t>
  </si>
  <si>
    <t>7600*720</t>
  </si>
  <si>
    <t>贴地</t>
  </si>
  <si>
    <t>供电由甲方按乙方要求提供电源点位，外部照明
+内部照明，标识发光单独一路电，总时控开关</t>
  </si>
  <si>
    <t>公区标识采购及安装清单</t>
  </si>
  <si>
    <t>C11</t>
  </si>
  <si>
    <t>推拉牌</t>
  </si>
  <si>
    <t>1.5mm厚铝板雕刻，非内容部分阴刻，仿黄铜乱纹做旧
文字边框外凸1mm，仿黄铜乱纹微做旧
1组两块（推+拉计一组）
表述尺寸均为完成面尺寸，材料厚度以深化效果为准
满足设计要求及验收规范要求，最终实施以项目部签字为准</t>
  </si>
  <si>
    <t>60*60</t>
  </si>
  <si>
    <t>遇推拉门设置2组（1组两块）</t>
  </si>
  <si>
    <t>C12</t>
  </si>
  <si>
    <t>刷卡牌</t>
  </si>
  <si>
    <t>1.5mm厚亚克力雕刻，仿黄铜乱纹微做旧
内容丝网印刷
1组两块（刷+按计一组）
表述尺寸均为完成面尺寸，材料厚度以深化效果为准
满足设计要求及验收规范要求，最终实施以项目部签字为准</t>
  </si>
  <si>
    <t>遇刷卡区设置1组（1组两块）</t>
  </si>
  <si>
    <t>C06</t>
  </si>
  <si>
    <t>地下一层电梯楼层号</t>
  </si>
  <si>
    <t>墙面装饰条装修公司制作
不锈钢折边焊接，表面金属烤漆
5mm厚铝板雕刻粘接，表面金属烤漆
8mm厚铝板雕刻尖锥形，表面仿黄铜色做旧
8mm厚铝板雕刻凹槽，表面仿黄铜色做旧
造型铝板雕刻，表面仿黄铜色做旧
不锈钢折边焊接灯带，内置LED光源，色温3000K
厚铝板仿锤纹雕刻粘接，表面仿黄铜色做旧
墙面装饰条装修公司制作
8mm厚铝板雕刻凹槽，表面仿黄铜色做旧
不锈钢折边焊接，表面烤漆
预留电源线(12V)
墙体可预留20-30mm空隙
8mm厚铝板雕刻尖锥形，表面仿黄铜色做旧
不锈钢折边焊接灯带，内置LED光源，色温3000K5mm厚铝板仿锤纹雕刻粘接，表面仿黄铜色做旧8mm厚铝板雕刻尖锥形，表面仿黄铜色做旧
包含基层的凿深，以满足安装条件
表述尺寸均为完成面尺寸，材料厚度以深化效果为准
满足设计要求及验收规范要求，最终实施以项目部签字为准</t>
  </si>
  <si>
    <t>360*360</t>
  </si>
  <si>
    <t>内嵌</t>
  </si>
  <si>
    <t>内部照明</t>
  </si>
  <si>
    <t>多层住宅每个电梯前室前设置一个</t>
  </si>
  <si>
    <t>C01</t>
  </si>
  <si>
    <t>入户门牌</t>
  </si>
  <si>
    <t>墙面装饰条装修公司制作
不锈钢折边焊接，表面烤漆
5mm厚铝板雕刻粘接，表面烤漆
8mm厚铝板雕刻尖锥形，表面仿黄铜色做旧
8mm厚铝板雕刻凹槽，表面仿黄铜色做旧
造型铝板雕刻，表面仿黄铜色做旧
不锈钢折边焊接灯带，内置LED光源，色温3000K
5mm厚铝板仿锤纹雕刻粘接，表面仿黄铜色做旧
8mm厚铝板雕刻尖锥形，表面仿黄铜色做旧
墙面装饰条装修公司制作
8mm厚铝板雕刻凹槽，表面仿黄铜色做旧
不锈钢折边焊接，表面烤漆
预留电源线(12V)
墙体可预留20-30mm空隙
8mm厚铝板雕刻尖锥形，表面仿黄铜色做旧
不锈钢折边焊接灯带，内置LED光源，色温3000K
5mm厚铝板仿锤纹雕刻粘接，表面仿黄铜色做旧
8mm厚铝板雕刻尖锥形，表面仿黄铜色做旧
包含基层的凿深，以满足安装条件
表述尺寸均为完成面尺寸，材料厚度以深化效果为准
满足设计要求及验收规范要求，最终实施以项目部签字为准</t>
  </si>
  <si>
    <t>B09</t>
  </si>
  <si>
    <t>后勤功能牌</t>
  </si>
  <si>
    <t>图标和中文1.5mm厚铝板尖锥雕刻，表面仿黄铜乱纹微做旧
丝网印刷
消火栓、电井、水井等字体，字体组合，综合考虑
表述尺寸均为完成面尺寸，材料厚度以深化效果为准
满足设计要求及验收规范要求，最终实施以项目部签字为准</t>
  </si>
  <si>
    <t>标识高60
字体高40
英文高40</t>
  </si>
  <si>
    <t>装修区域暗门管井按管井内容设置1个</t>
  </si>
  <si>
    <t>C10</t>
  </si>
  <si>
    <t>详见照片款式，底板深灰色，字金色，字体参照B1F1F字体
消火栓、电井、水井、消防电井、公共水管井、弱电井、配电间等字体，字体组合，综合考虑
表述尺寸均为完成面尺寸，材料厚度以深化效果为准
满足设计要求及验收规范要求，最终实施以项目部签字为准</t>
  </si>
  <si>
    <t>178*50</t>
  </si>
  <si>
    <t>每个非重点区域设备机房设置1处</t>
  </si>
  <si>
    <t>C13</t>
  </si>
  <si>
    <t>乘梯须知</t>
  </si>
  <si>
    <t>正面图文UV打印
3mm亚克力雕刻造型，仿黄铜乱纹微做旧
表述尺寸均为完成面尺寸，材料厚度以深化效果为准
满足设计要求及验收规范要求，最终实施以项目部签字为准</t>
  </si>
  <si>
    <t>210*350</t>
  </si>
  <si>
    <t>每个电梯轿厢内设置1个</t>
  </si>
  <si>
    <t>C09</t>
  </si>
  <si>
    <t>电梯温馨提示</t>
  </si>
  <si>
    <t>90*27</t>
  </si>
  <si>
    <t>每个电梯每层设置1个</t>
  </si>
  <si>
    <t>C05</t>
  </si>
  <si>
    <t>入口呼机</t>
  </si>
  <si>
    <t>1.2mm厚不锈钢板折边焊接,表面仿黄铜乱纹微做旧
导角尺寸根据现场实际制作预留
成品可视对讲，尺寸(118mm*235mm*25mm)实际尺寸复核，嵌平安装
3mm厚不锈钢板围边边框，表面仿黄铜乱纹微做旧
1.2mm厚不锈钢板折边焊接,表面金属烤漆深灰色表面覆5mm厚超清白玻(需定制)
logo蚀刻填漆
20mm岩板雕刻镶嵌
1.2mm厚不锈钢板折边焊接,表面仿黄铜乱纹微做旧
表述尺寸均为完成面尺寸，材料厚度以深化效果为准
满足设计要求及验收规范要求，最终实施以项目部签字为准</t>
  </si>
  <si>
    <t>200*1500</t>
  </si>
  <si>
    <t>智能化交接</t>
  </si>
  <si>
    <t>每个单元门口1个</t>
  </si>
  <si>
    <t>供电由甲方协商智能化单位按乙方要求提供电源点位，智能化交接</t>
  </si>
  <si>
    <t>会所标识采购及安装清单</t>
  </si>
  <si>
    <t>B04</t>
  </si>
  <si>
    <t>洗手间形象</t>
  </si>
  <si>
    <t>8mm铝板圆弧雕刻，仿黄铜乱纹微做旧
英文丝网印刷
表述尺寸均为完成面尺寸，材料厚度以深化效果为准
满足设计要求及验收规范要求，最终实施以项目部签字为准</t>
  </si>
  <si>
    <t>155*180</t>
  </si>
  <si>
    <t>单面</t>
  </si>
  <si>
    <t>每个卫生间1个</t>
  </si>
  <si>
    <t>B04-2
B04-3</t>
  </si>
  <si>
    <t>8mm铝板圆弧雕刻，仿黄铜乱纹微做旧
表述尺寸均为完成面尺寸，材料厚度以深化效果为准
满足设计要求及验收规范要求，最终实施以项目部签字为准</t>
  </si>
  <si>
    <t>47*155</t>
  </si>
  <si>
    <t>B04-4</t>
  </si>
  <si>
    <t>130*155</t>
  </si>
  <si>
    <t>B02</t>
  </si>
  <si>
    <t>办公门牌</t>
  </si>
  <si>
    <t>文字内容丝网印刷
1.2mm不锈钢折边焊接造型，
分色烤漆深灰色/仿黄铜乱纹微做旧
logo丝网印刷
表述尺寸均为完成面尺寸，材料厚度以深化效果为准
满足设计要求及验收规范要求，最终实施以项目部签字为准</t>
  </si>
  <si>
    <t>300*80</t>
  </si>
  <si>
    <t>按甲方要求一个后场每个管井设备间1个</t>
  </si>
  <si>
    <t>图标和中文1.5mm厚铝板尖锥雕刻，表面仿黄铜乱纹微做旧
丝网印刷
表述尺寸均为完成面尺寸，材料厚度以深化效果为准
满足设计要求及验收规范要求，最终实施以项目部签字为准</t>
  </si>
  <si>
    <t>标识高60
字体高60
英文高16</t>
  </si>
  <si>
    <t>前场每个管井暗门一个</t>
  </si>
  <si>
    <t>电梯使用须知</t>
  </si>
  <si>
    <t>每个电梯轿厢1个</t>
  </si>
  <si>
    <t>每个电梯每次1个</t>
  </si>
  <si>
    <t>B13</t>
  </si>
  <si>
    <t>果壳箱</t>
  </si>
  <si>
    <t>边框看面5mm，中间下凹5mm造型
中间图形5mm铝板雕刻，仿黄铜乱纹微做旧
20mm厚铝板雕刻造型
仿黄铜乱纹微做旧
丝网印刷
1.2mm厚不锈钢板折边焊接，表面石纹转印
5mm铝板折弯焊接造型，金属烤漆深灰色
logo丝网印刷
1.2mm厚不锈钢板折边焊接，
仿黄铜乱纹做旧
表述尺寸均为完成面尺寸，材料厚度以深化效果为准
满足设计要求及验收规范要求，最终实施以项目部签字为准</t>
  </si>
  <si>
    <t>260*810</t>
  </si>
  <si>
    <t>四面</t>
  </si>
  <si>
    <t>按甲方需求每个公共空间配置1-2个</t>
  </si>
  <si>
    <t>个</t>
  </si>
  <si>
    <t>A13</t>
  </si>
  <si>
    <t>温馨提示</t>
  </si>
  <si>
    <t>按甲方需求每遇水，遇台阶，桥面，或有地形处等位置至少设置2个</t>
  </si>
  <si>
    <t>A11</t>
  </si>
  <si>
    <t>雨伞架</t>
  </si>
  <si>
    <t>1.2mm厚不锈钢板折边焊接，表面分色金属烤漆
直径65mm伞孔，边缘不锈钢折边保护仿黄铜乱纹微做旧
1.2mm厚不锈钢板折边造型，仿黄铜乱纹微做旧文字内容丝网印刷
1.2mm厚不锈钢板折边造型，仿黄铜乱纹做旧
15mm厚铝板雕刻造型，仿黄铜乱纹微做旧中间阴刻下凹12mm8mm岩板雕刻造型镶嵌
1.2mm厚不锈钢板折边焊接，表面金属烤漆深灰色
1.2mm厚不锈钢板折边焊接，表面金属烤漆深灰色
图文丝网印刷
1.2mm厚不锈钢板折边焊接底座，
表面金属烤漆深灰色/仿黄铜乱纹做旧
表述尺寸均为完成面尺寸，材料厚度以深化效果为准
满足设计要求及验收规范要求，最终实施以项目部签字为准</t>
  </si>
  <si>
    <t>630*800</t>
  </si>
  <si>
    <t>按甲方需求，每个主要入口1个</t>
  </si>
  <si>
    <t>B11</t>
  </si>
  <si>
    <t>接待台牌</t>
  </si>
  <si>
    <t>5mm岩板雕刻造型内嵌
logo/英文/线条丝网印刷
10mm铝板雕刻造型，金属烤漆深灰色(双面造型)
5mm铝板雕刻造型，仿黄铜乱纹做旧
2mm铝板雕刻单片字，金属烤漆深灰色
表述尺寸均为完成面尺寸，材料厚度以深化效果为准
满足设计要求及验收规范要求，最终实施以项目部签字为准</t>
  </si>
  <si>
    <t>300*48</t>
  </si>
  <si>
    <t>每个接待台1个</t>
  </si>
  <si>
    <t>B14</t>
  </si>
  <si>
    <t>资料架</t>
  </si>
  <si>
    <t>1.2mm厚不锈钢板折边焊接，金属烤漆深灰色
面板与框架螺丝固定
1.2mm厚不锈钢板折边焊接，仿黄铜乱纹微做旧
1.2mm厚不锈钢板折边焊接，仿黄铜乱纹深做旧
LOGO丝网印刷
1.2mm厚不锈钢板折边焊接，仿黄铜乱纹微做旧内置配重
表述尺寸均为完成面尺寸，材料厚度以深化效果为准
满足设计要求及验收规范要求，最终实施以项目部签字为准</t>
  </si>
  <si>
    <t>550*1800</t>
  </si>
  <si>
    <t>按甲方要求，不少于2个</t>
  </si>
  <si>
    <t>B17</t>
  </si>
  <si>
    <t>移动展架</t>
  </si>
  <si>
    <t>1.2mm厚不锈钢板折边焊接，金属烤漆深灰色
前后8+8mm厚钢化超白玻璃
LOGO丝网印刷
1.2mm厚不锈钢板折边焊接，金属烤漆深灰色底部增加配重
表述尺寸均为完成面尺寸，材料厚度以深化效果为准
满足设计要求及验收规范要求，最终实施以项目部签字为准</t>
  </si>
  <si>
    <t>600*1830</t>
  </si>
  <si>
    <t>B15</t>
  </si>
  <si>
    <t>合同展示架</t>
  </si>
  <si>
    <t>1.2mm厚不锈钢折边焊接，表面金属烤漆深灰色
合同夹
5mm厚铝板雕刻底板，表面仿黄铜乱纹深做旧3mm铝板尖锥形雕刻粘接，仿黄铜乱纹微做旧图文丝网印刷
1.2mm厚不锈钢折边焊接，表面金属烤漆深灰色
1.2mm厚不锈钢折边焊接，表面金属烤漆深灰色底脚配重
表述尺寸均为完成面尺寸，材料厚度以深化效果为准
满足设计要求及验收规范要求，最终实施以项目部签字为准</t>
  </si>
  <si>
    <t>650*1350</t>
  </si>
  <si>
    <t>按甲方要求，至少设置1个</t>
  </si>
  <si>
    <t>B15-1</t>
  </si>
  <si>
    <t>活动展示架2</t>
  </si>
  <si>
    <t>1.2mm厚不锈钢板折边焊 接表面金属烤漆深灰色,侧厚15mm表面嵌5mm透明亚克力板，背板可拆卸，更换画面，线条丝网印刷
F15mm不锈钢管，表面烤漆(仿黄铜乱纹
微做旧效果)
F22mm不锈钢管，表面烤漆(仿黄铜 乱纹微做旧效 果)
1.2厚不锈钢板焊 接底座，底部配重
表述尺寸均为完成面尺寸，材料厚度以深化效果为准
满足设计要求及验收规范要求，最终实施以项目部签字为准</t>
  </si>
  <si>
    <t>450*1470</t>
  </si>
  <si>
    <t>E01</t>
  </si>
  <si>
    <t>A字立牌</t>
  </si>
  <si>
    <t>1.2mm厚不锈钢折边焊接，石纹转印
文字丝网印刷
1.2mm厚不锈钢折边焊接，金属烤漆深灰色
文字丝网印刷
表述尺寸均为完成面尺寸，材料厚度以深化效果为准
满足设计要求及验收规范要求，最终实施以项目部签字为准</t>
  </si>
  <si>
    <t>190*600</t>
  </si>
  <si>
    <t>双面</t>
  </si>
  <si>
    <t>按甲方需求，不少于5个</t>
  </si>
  <si>
    <t>B12</t>
  </si>
  <si>
    <t>水吧台牌</t>
  </si>
  <si>
    <t>5mm铝板尖锥形雕刻，仿黄铜乱纹微做旧
15mm铝板雕刻造型，金属烤漆深灰色logo丝网印刷
5mm铝板雕刻造型，仿黄铜乱纹做旧
表述尺寸均为完成面尺寸，材料厚度以深化效果为准
满足设计要求及验收规范要求，最终实施以项目部签字为准</t>
  </si>
  <si>
    <t>280*35</t>
  </si>
  <si>
    <t>按甲方要求，不少于1个</t>
  </si>
  <si>
    <t>B03</t>
  </si>
  <si>
    <t>更衣室</t>
  </si>
  <si>
    <t>8mm厚铝板尖锥形雕刻表面仿黄铜乱纹深做旧
8mm厚铝板尖锥形雕刻表面仿黄铜乱纹微做旧
中英文5mm厚铝板尖锥形雕刻表面仿黄铜乱纹微做旧
表述尺寸均为完成面尺寸，材料厚度以深化效果为准
满足设计要求及验收规范要求，最终实施以项目部签字为准</t>
  </si>
  <si>
    <t>标识高80
文字高35
英文：15</t>
  </si>
  <si>
    <t>B06</t>
  </si>
  <si>
    <t>急救室</t>
  </si>
  <si>
    <t>8mm铝板雕刻图形，表面圆弧雕刻仿黄铜乱纹微做旧
8mm厚铝板尖锥形雕刻表面仿黄铜乱纹微做旧
表述尺寸均为完成面尺寸，材料厚度以深化效果为准
满足设计要求及验收规范要求，最终实施以项目部签字为准</t>
  </si>
  <si>
    <t>高205
标识高90
字体高40
英文高20</t>
  </si>
  <si>
    <t>B07</t>
  </si>
  <si>
    <t>健身房/泳池使用须知</t>
  </si>
  <si>
    <t>10mm铝板雕刻，金属烤漆深灰色
图文内容丝网印刷
5mm铝板雕刻边线造型，线条部分阳刻，仿黄铜乱纹微做旧
表述尺寸均为完成面尺寸，材料厚度以深化效果为准
满足设计要求及验收规范要求，最终实施以项目部签字为准</t>
  </si>
  <si>
    <t>285*500</t>
  </si>
  <si>
    <t>B10</t>
  </si>
  <si>
    <t>水深提示</t>
  </si>
  <si>
    <t>5mm厚度黄铜字雕刻镶嵌,表面嵌平
表述尺寸均为完成面尺寸，材料厚度以深化效果为准
满足设计要求及验收规范要求，最终实施以项目部签字为准</t>
  </si>
  <si>
    <t>300*100</t>
  </si>
  <si>
    <t>A05-3</t>
  </si>
  <si>
    <t>会所门牌（北）</t>
  </si>
  <si>
    <t>1.2mm不锈钢折边焊接造型，表面仿黄铜乱纹做旧效果底口开槽，内置防水LED光源，表面磨砂亚克力嵌平，色温3500K，下打光
1.2mm不锈钢折边焊接造型，表面烤漆看面5mm，内倒角下凹8mm
5mm铝板尖锥形雕刻粘接，表面仿黄铜乱纹微做旧-
3mm铝板尖锥形雕刻粘接，表面仿黄铜乱纹微做旧 -
logo丝网印刷
1.2mm不锈钢折边焊接造型，表面烤漆边框3mm铝板激光雕刻造型粘接，微做旧
表述尺寸均为完成面尺寸，材料厚度以深化效果为准
满足设计要求及验收规范要求，最终实施以项目部签字为准</t>
  </si>
  <si>
    <t>590*330</t>
  </si>
  <si>
    <t>A08-3</t>
  </si>
  <si>
    <t>景观形象</t>
  </si>
  <si>
    <t>5mm厚铝板雕刻，深色部分仿黄铜乱纹做旧，浅色微做旧,图文内容丝网印1.2mm不锈钢折边焊接，表面金属烤漆深灰色文字丝网印刷
图文UV打印
1.2mm厚不锈钢板折边焊接,石纹转印
1.2mm不锈钢折边焊接造型，表面金属烤漆深灰色
表述尺寸均为完成面尺寸，材料厚度以深化效果为准
满足设计要求及验收规范要求，最终实施以项目部签字为准</t>
  </si>
  <si>
    <t>295*1120</t>
  </si>
  <si>
    <t>B01-13</t>
  </si>
  <si>
    <t>会所服务台背景logo</t>
  </si>
  <si>
    <t>5mm铝板尖锥形雕刻，表面仿黄铜色微做旧效果
表述尺寸均为完成面尺寸，材料厚度以深化效果为准
满足设计要求及验收规范要求，最终实施以项目部签字为准</t>
  </si>
  <si>
    <t>352*228</t>
  </si>
  <si>
    <t>公园绿地标识采购及安装清单</t>
  </si>
  <si>
    <t>D04</t>
  </si>
  <si>
    <t>公园介绍牌</t>
  </si>
  <si>
    <t>1.2mm不锈钢折边焊接造型，表面烤漆深灰色内容丝网印刷
1.2mm不锈钢折边焊接造型，表面烤漆深灰色内容丝网印刷
1.2mm不锈钢折边焊接造型，表面石纹转印
1.2mm不锈钢折边焊接造型，表面烤漆深灰色底部增加配重
表述尺寸均为完成面尺寸，材料厚度以深化效果为准
满足设计要求及验收规范要求，最终实施以项目部签字为准</t>
  </si>
  <si>
    <t>480*2000</t>
  </si>
  <si>
    <t>每公园入口处1块</t>
  </si>
  <si>
    <t>D12</t>
  </si>
  <si>
    <t>温馨提示标语</t>
  </si>
  <si>
    <t>1.5mm铝板雕刻，表面仿黄铜乱纹微做旧，边缘微倒角，图形文字腐蚀填漆
小心台阶、请勿攀爬、小心地滑、请勿戏水等字体，字体组合，综合考虑
表述尺寸均为完成面尺寸，材料厚度以深化效果为准
满足设计要求及验收规范要求，最终实施以项目部签字为准</t>
  </si>
  <si>
    <t>遇台阶处至少设置2个</t>
  </si>
  <si>
    <t>D05</t>
  </si>
  <si>
    <t>水深危险</t>
  </si>
  <si>
    <t>1.2mm厚304不锈钢板焊接,烤漆深灰色
图文丝网印刷
10mm铝板雕刻造型，仿黄铜乱纹微做旧边框看面3mm,深色下凹5mm造型
1.2mm厚304不锈钢板焊接,烤漆深灰色
图文丝网印刷
表述尺寸均为完成面尺寸，材料厚度以深化效果为准
满足设计要求及验收规范要求，最终实施以项目部签字为准</t>
  </si>
  <si>
    <t>180*350</t>
  </si>
  <si>
    <t>河边每5-8m设置1处</t>
  </si>
  <si>
    <t>A14</t>
  </si>
  <si>
    <t>室外果皮箱</t>
  </si>
  <si>
    <t>按甲方需求及规范要求放置1个</t>
  </si>
  <si>
    <t>锥形桶</t>
  </si>
  <si>
    <t>1.2mm厚不锈钢板折边焊接成面框，表面烤漆仿黄铜乱纹微做旧
1.2mm厚不锈钢板折边焊接,石纹转印
5mm厚铝板雕刻，深色部分内容阴刻下凹2mm，仿黄铜乱纹深做旧，浅色微做旧
1.2mm厚不锈钢板折边焊接成面框,表面烤漆仿黄铜乱纹微做旧
表述尺寸均为完成面尺寸，材料厚度以深化效果为准
满足设计要求及验收规范要求，最终实施以项目部签字为准</t>
  </si>
  <si>
    <t>人行道和车行道交接处按道路宽度设置</t>
  </si>
  <si>
    <t>电箱装饰美化</t>
  </si>
  <si>
    <t>主材：1.5 304不锈钢切割折弯焊接成型,烤漆金属银色
图案：面板雕刻镂空
logo：穿孔图案
表述尺寸均为完成面尺寸，材料厚度以深化效果为准
满足设计要求及验收规范要求，最终实施以项目部签字为准</t>
  </si>
  <si>
    <t>安装</t>
  </si>
  <si>
    <t>平米</t>
  </si>
  <si>
    <t>地库标识采购及安装清单</t>
  </si>
  <si>
    <t>A07</t>
  </si>
  <si>
    <t>地库龙门牌</t>
  </si>
  <si>
    <t>标识：20mm厚铝板雕刻，表面仿黄铜乱纹微做旧效果
背面铣槽，背衬8mm磨砂亚克力板,外凸5mm
内置防水LED光源，色温3500K，背发光
面板：1.2mm不锈钢折边焊接底板，烤漆深灰色
奢石部分：开槽内凹30mm，10mm岩板雕刻内嵌
上下1.2mm不锈钢折边焊接造型，仿黄铜乱纹做旧
logo丝网印刷
logo下方：1.2mm不锈钢折边焊接造型，
仿黄铜乱纹做旧
深色图案：1.2mm不锈钢折边焊接底板，
图案阴刻造型，烤漆深灰色
字体：20mm厚铝板尖锥形雕刻，表面仿黄铜乱纹微做旧效果
背面铣槽，背衬8mm磨砂亚克力板,外凸5mm
内置防水LED光源，色温3500K，背发光
英文：3mm铝板尖锥形雕刻，
仿黄铜乱纹微做旧
箭头：箭头5mm铝板雕刻，
仿黄铜乱纹微做旧
背板镂空，背衬亚克力，外凸5mm
内置LED光源，发光色温3500K
表述尺寸均为完成面尺寸，材料厚度以深化效果为准
满足设计要求及验收规范要求，最终实施以项目部签字为准</t>
  </si>
  <si>
    <t>6500*600</t>
  </si>
  <si>
    <t>坡道入口龙门架每处1个</t>
  </si>
  <si>
    <t>供电由甲方按乙方要求提供电源点位</t>
  </si>
  <si>
    <t>P1</t>
  </si>
  <si>
    <t>车行指引牌</t>
  </si>
  <si>
    <t>字体：5mm铝板尖锥形雕刻
仿黄铜乱纹微做旧
奢石：1.2mm不锈钢折边焊接造型，
表面石纹转印
logo:1.2mm不锈钢折边焊接造型，表面烤漆深灰色
内容丝网印刷，纹样阴刻效果
右边字体：数字/箭头部分面板激光雕刻镂空
内衬磨砂亚克力，外凸5mm，表面
8mm铝板尖锥形雕刻粘接
内置LED光源，色温3500K，背发光
表述尺寸均为完成面尺寸，材料厚度以深化效果为准
满足设计要求及验收规范要求，最终实施以项目部签字为准</t>
  </si>
  <si>
    <t>2300*220</t>
  </si>
  <si>
    <t>地下车库车行引导牌重要节点入口随车道方向设置1-2个
单元指引牌：每个单元及每个入口区域合院前一个</t>
  </si>
  <si>
    <t>P2替</t>
  </si>
  <si>
    <t>地下车库车位牌</t>
  </si>
  <si>
    <r>
      <rPr>
        <sz val="9"/>
        <color rgb="FFFF0000"/>
        <rFont val="宋体"/>
        <charset val="134"/>
        <scheme val="minor"/>
      </rPr>
      <t xml:space="preserve">上边:烤漆深灰色光源，表面亚克力灯罩嵌平底部开槽，内藏LE光，色温3500K下打面板:15mm亚克力，仿黄铜乱纹做旧内容uv打印
透光膜打印字包含在内不另计（车牌透光膜按物业要求提供）
</t>
    </r>
    <r>
      <rPr>
        <sz val="9"/>
        <rFont val="宋体"/>
        <charset val="134"/>
        <scheme val="minor"/>
      </rPr>
      <t>表述尺寸均为完成面尺寸，材料厚度以深化效果为准
满足设计要求及验收规范要求，最终实施以项目部签字为准</t>
    </r>
  </si>
  <si>
    <t>可见面200*15厚</t>
  </si>
  <si>
    <t>透光</t>
  </si>
  <si>
    <t>米</t>
  </si>
  <si>
    <t>按照甲方确认安装部位，复核现场开槽预留部位</t>
  </si>
  <si>
    <t>详见照片款式，底板深灰色，字金色，字体参照B1F1F字体
消火栓、电井、水井、消防电井、公共水管井、弱电井、配电间、通信机房、电视机房、补风机房、排烟机房、消防水池、消防泵房、宿舍加压房、直饮水机房、消控室、化验间、生活泵房、风井等字体，字体组合，综合考虑
表述尺寸均为完成面尺寸，材料厚度以深化效果为准
满足设计要求及验收规范要求，最终实施以项目部签字为准</t>
  </si>
  <si>
    <t>防撞护角</t>
  </si>
  <si>
    <t>银白色不锈钢
表述尺寸均为完成面尺寸，材料厚度以深化效果为准
满足设计要求及验收规范要求，最终实施以项目部签字为准</t>
  </si>
  <si>
    <t>600*60*1.2</t>
  </si>
  <si>
    <t>次车道柱子阳角面两个，墙体阳角面</t>
  </si>
  <si>
    <t>根</t>
  </si>
  <si>
    <t>反光镜</t>
  </si>
  <si>
    <t>PC防撞镜面
表述尺寸均为完成面尺寸，材料厚度以深化效果为准
满足设计要求及验收规范要求，最终实施以项目部签字为准</t>
  </si>
  <si>
    <t>直径800</t>
  </si>
  <si>
    <t>_</t>
  </si>
  <si>
    <t>坡道及重要节点入口，十字路丁字入口按需设置1-2个</t>
  </si>
  <si>
    <t>减速带</t>
  </si>
  <si>
    <t>304不锈钢光面盲钉
表述尺寸均为完成面尺寸，材料厚度以深化效果为准
满足设计要求及验收规范要求，最终实施以项目部签字为准</t>
  </si>
  <si>
    <t>35*5mm</t>
  </si>
  <si>
    <t>地装</t>
  </si>
  <si>
    <t>坡道及重要节点入口，十字路丁字入口按需设置1-2组</t>
  </si>
  <si>
    <t>不锈钢背发光logo（坡道顶盖线墙面）</t>
  </si>
  <si>
    <t>颜色：咖色
表面：电镀喷砂哑光
材质：304不锈钢
规格：15厚咖色不锈钢，后衬15厚冬瓜白色亚克力，色温3000k
特殊要求：防指印处理
表述尺寸均为完成面尺寸，材料厚度以深化效果为准
满足设计要求及验收规范要求，最终实施以项目部签字为准</t>
  </si>
  <si>
    <t>2150*510</t>
  </si>
  <si>
    <t>每个坡道一个</t>
  </si>
  <si>
    <t>不锈钢logo（玄关墙面）</t>
  </si>
  <si>
    <t>颜色：咖色
表面：电镀喷砂哑光
材质：304不锈钢
规格：10厚咖色不锈钢
特殊要求：防指印处理
表述尺寸均为完成面尺寸，材料厚度以深化效果为准
满足设计要求及验收规范要求，最终实施以项目部签字为准</t>
  </si>
  <si>
    <t>1080*255</t>
  </si>
  <si>
    <t>每个玄关一个</t>
  </si>
  <si>
    <t>logo标识，灯箱</t>
  </si>
  <si>
    <t>外壳颜色：咖色，电镀喷砂哑光
表面：亚克力灯箱
表述尺寸均为完成面尺寸，材料厚度以深化效果为准
满足设计要求及验收规范要求，最终实施以项目部签字为准</t>
  </si>
  <si>
    <t>200*110</t>
  </si>
  <si>
    <t>北侧坡道下口对称设置各2个</t>
  </si>
  <si>
    <t>不锈钢颜色：咖色
厚度：10mm
要求：不锈钢立体标识，内嵌白色纹理云母片
表述尺寸均为完成面尺寸，材料厚度以深化效果为准
满足设计要求及验收规范要求，最终实施以项目部签字为准</t>
  </si>
  <si>
    <t>500*280</t>
  </si>
  <si>
    <t>玄关两侧各一个</t>
  </si>
  <si>
    <t>C03</t>
  </si>
  <si>
    <t>洋房地下光厅</t>
  </si>
  <si>
    <t>10mm厚铝板雕刻底板，仿黄铜乱纹做旧
边框阳刻，看面2.5mm，中间内凹5mm，深做旧
字体：8mm厚铝板尖锥形雕刻粘接，
仿黄铜乱纹微做旧
底板：30mm厚铝板雕刻，
仿黄铜乱纹做旧
8mm厚铝板雕刻底板，烤漆
表述尺寸均为完成面尺寸，材料厚度以深化效果为准
满足设计要求及验收规范要求，最终实施以项目部签字为准</t>
  </si>
  <si>
    <t>550*155</t>
  </si>
  <si>
    <t>洋房各地下单元放置一个</t>
  </si>
  <si>
    <t>不锈钢logo（洋房落客区墙面）</t>
  </si>
  <si>
    <t>260*190</t>
  </si>
  <si>
    <t>洋房、垃圾房、储藏室、司机休息室、洗车间及会所单元门口各设置一组</t>
  </si>
  <si>
    <t>C16-1</t>
  </si>
  <si>
    <t>中文1.5mm铝板雕刻尖锥字表面仿黄铜微做旧
表述尺寸均为完成面尺寸，材料厚度以深化效果为准
满足设计要求及验收规范要求，最终实施以项目部签字为准</t>
  </si>
  <si>
    <t>144*45
289*45</t>
  </si>
  <si>
    <t>储藏室/垃圾房</t>
  </si>
  <si>
    <t>C16-2</t>
  </si>
  <si>
    <t>司机休息室</t>
  </si>
  <si>
    <t>P04</t>
  </si>
  <si>
    <t>洗车中心</t>
  </si>
  <si>
    <t>15mm铝板雕刻，仿黄铜乱纹深做旧
5mm铝板折弯焊接，仿黄铜乱纹微做旧
25mm铝板雕刻造型，仿黄铜乱纹微做旧底部铣槽，内藏LED光源，表面磨砂亚克力灯罩嵌平下打光，色温3500K
表述尺寸均为完成面尺寸，材料厚度以深化效果为准
满足设计要求及验收规范要求，最终实施以项目部签字为准</t>
  </si>
  <si>
    <t>整体300宽
字体高55</t>
  </si>
  <si>
    <t>洗车区</t>
  </si>
  <si>
    <t>正发光立体字标识（联排、企业总部和专家楼落客区）</t>
  </si>
  <si>
    <t>外壳颜色：咖色不锈钢电镀喷砂哑光
表面：透光亚克力
表述尺寸均为完成面尺寸，材料厚度以深化效果为准
满足设计要求及验收规范要求，最终实施以项目部签字为准</t>
  </si>
  <si>
    <t>70*460</t>
  </si>
  <si>
    <t>联排入户各1个</t>
  </si>
  <si>
    <t>不锈钢logo（主车道柱面、次车道柱面）</t>
  </si>
  <si>
    <t>110*190</t>
  </si>
  <si>
    <t>所有邻车道柱面各1个</t>
  </si>
  <si>
    <t>物业相关标识采购及安装清单</t>
  </si>
  <si>
    <t>E01-1</t>
  </si>
  <si>
    <t>1.2mm厚不锈钢折边焊接，石纹转印
文字丝网印刷
1.2mm厚不锈钢折边焊接，金属烤漆深灰色
文字丝网印刷
字体字数综合考虑
表述尺寸均为完成面尺寸，材料厚度以深化效果为准
满足设计要求及验收规范要求，最终实施以项目部签字为准</t>
  </si>
  <si>
    <t>不少于10块</t>
  </si>
  <si>
    <t>小心地滑*10，正在清洁*10，正在维修*10，请勿泊车*20</t>
  </si>
  <si>
    <t>E09</t>
  </si>
  <si>
    <t>物业服务中心</t>
  </si>
  <si>
    <t>8mm铝板激光雕刻造型，烤漆深灰色，内容丝网印刷
表述尺寸均为完成面尺寸，材料厚度以深化效果为准
满足设计要求及验收规范要求，最终实施以项目部签字为准</t>
  </si>
  <si>
    <t>400*220</t>
  </si>
  <si>
    <t>物业用房门口设置1个</t>
  </si>
  <si>
    <t>服务中心前台背景墙（中吴物业）</t>
  </si>
  <si>
    <t>1.2mm 304不锈钢切割焊接成型，15mm厚 拉丝黄古铜
表述尺寸均为完成面尺寸，材料厚度以深化效果为准
满足设计要求及验收规范要求，最终实施以项目部签字为准</t>
  </si>
  <si>
    <t>1835*500</t>
  </si>
  <si>
    <t>E06</t>
  </si>
  <si>
    <t>服务中心作息时间表</t>
  </si>
  <si>
    <t>400*270</t>
  </si>
  <si>
    <t>无</t>
  </si>
  <si>
    <t>E05-1</t>
  </si>
  <si>
    <t>严禁烟火</t>
  </si>
  <si>
    <t>3mm铝板激光雕刻造型，烤漆深灰色，内容丝网印刷
表述尺寸均为完成面尺寸，材料厚度以深化效果为准
满足设计要求及验收规范要求，最终实施以项目部签字为准</t>
  </si>
  <si>
    <t>按甲方需求</t>
  </si>
  <si>
    <t>E05-3</t>
  </si>
  <si>
    <t>有电危险请勿触摸</t>
  </si>
  <si>
    <t>E05-5</t>
  </si>
  <si>
    <t>严禁攀爬</t>
  </si>
  <si>
    <t>E05-2</t>
  </si>
  <si>
    <t>小心坠落</t>
  </si>
  <si>
    <t>E05-6</t>
  </si>
  <si>
    <t>严禁高空抛物</t>
  </si>
  <si>
    <t>3mm铝板激光雕刻造型，烤漆深灰色，内容丝网印刷
满足设计要求及验收规范要求，最终实施以项目部签字为准</t>
  </si>
  <si>
    <t>E05-4</t>
  </si>
  <si>
    <t>小心碰头</t>
  </si>
  <si>
    <t>E10-3</t>
  </si>
  <si>
    <t>视频监控区域</t>
  </si>
  <si>
    <t>丝网印刷
8mm厚铝板雕刻，表面烤漆
表述尺寸均为完成面尺寸，材料厚度以深化效果为准
满足设计要求及验收规范要求，最终实施以项目部签字为准</t>
  </si>
  <si>
    <t>300*110</t>
  </si>
  <si>
    <t>E10-1</t>
  </si>
  <si>
    <t>为了您的安全
请随手关门</t>
  </si>
  <si>
    <t>E10-2</t>
  </si>
  <si>
    <t>天台重地
闲人勿进</t>
  </si>
  <si>
    <t>300*125</t>
  </si>
  <si>
    <t>消防疏散指示图</t>
  </si>
  <si>
    <t>5mm亚克力面板烤漆古铜色表面信息内容丝网印刷。
表述尺寸均为完成面尺寸，材料厚度以深化效果为准
满足设计要求及验收规范要求，最终实施以项目部签字为准</t>
  </si>
  <si>
    <t>550*400</t>
  </si>
  <si>
    <t>根据实际情况</t>
  </si>
  <si>
    <t>出入请登记提示语</t>
  </si>
  <si>
    <t>3mm亚克力表面烤漆古铜色，图文丝印
表述尺寸均为完成面尺寸，材料厚度以深化效果为准
满足设计要求及验收规范要求，最终实施以项目部签字为准</t>
  </si>
  <si>
    <t>350*250</t>
  </si>
  <si>
    <t>请出示证件等提示语</t>
  </si>
  <si>
    <t>150*350*3</t>
  </si>
  <si>
    <t>临时卸货区</t>
  </si>
  <si>
    <t>整体：1.5mm304#不锈钢折弯焊接箱体，
表面电镀古铜色 ，表面图文信息丝网印刷。
装饰条：1.5mm304#不锈钢折弯焊接装饰条电镀古铜色。                                                           侧面：蚀刻回纹图形
表述尺寸均为完成面尺寸，材料厚度以深化效果为准
满足设计要求及验收规范要求，最终实施以项目部签字为准</t>
  </si>
  <si>
    <t>2030*450*100</t>
  </si>
  <si>
    <t>立牌</t>
  </si>
  <si>
    <t>外卖车停放点</t>
  </si>
  <si>
    <t>防汛物资，请勿挪用</t>
  </si>
  <si>
    <t>3mm亚克力烤漆古铜色，图文丝印。
表述尺寸均为完成面尺寸，材料厚度以深化效果为准
满足设计要求及验收规范要求，最终实施以项目部签字为准</t>
  </si>
  <si>
    <t>300*400*3</t>
  </si>
  <si>
    <t>防暴物资，请勿挪用</t>
  </si>
  <si>
    <t>电梯管理信息公告栏（重要通知公告栏）</t>
  </si>
  <si>
    <t>3mm亚克
力烤漆古铜色，表面信息内容丝网印刷，面衬透明亚克力兜，内置A4画面。
表述尺寸均为完成面尺寸，材料厚度以深化效果为准
满足设计要求及验收规范要求，最终实施以项目部签字为准</t>
  </si>
  <si>
    <t>400*250*3</t>
  </si>
  <si>
    <t>防撞条</t>
  </si>
  <si>
    <t>3M膜高清平喷
表述尺寸均为完成面尺寸，材料厚度以深化效果为准
满足设计要求及验收规范要求，最终实施以项目部签字为准</t>
  </si>
  <si>
    <t>H:100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</si>
</sst>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;[Red]\-0.00\ "/>
    <numFmt numFmtId="177" formatCode="0.00_ "/>
  </numFmts>
  <fonts count="38">
    <font>
      <sz val="11"/>
      <color theme="1"/>
      <name val="宋体"/>
      <charset val="134"/>
      <scheme val="minor"/>
    </font>
    <font>
      <b/>
      <sz val="10"/>
      <name val="宋体"/>
      <charset val="134"/>
      <scheme val="minor"/>
    </font>
    <font>
      <sz val="10"/>
      <name val="宋体"/>
      <charset val="134"/>
      <scheme val="minor"/>
    </font>
    <font>
      <sz val="9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9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9"/>
      <color theme="1"/>
      <name val="宋体"/>
      <charset val="134"/>
      <scheme val="minor"/>
    </font>
    <font>
      <sz val="9"/>
      <color rgb="FFFF0000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2"/>
      <name val="Arial"/>
      <charset val="0"/>
    </font>
    <font>
      <sz val="10"/>
      <name val="Arial"/>
      <charset val="0"/>
    </font>
    <font>
      <sz val="12"/>
      <name val="宋体"/>
      <charset val="134"/>
    </font>
    <font>
      <b/>
      <sz val="18"/>
      <color rgb="FF000000"/>
      <name val="宋体"/>
      <charset val="0"/>
    </font>
    <font>
      <sz val="10"/>
      <color rgb="FF000000"/>
      <name val="宋体"/>
      <charset val="0"/>
    </font>
    <font>
      <b/>
      <sz val="12"/>
      <color rgb="FF000000"/>
      <name val="宋体"/>
      <charset val="0"/>
    </font>
    <font>
      <sz val="12"/>
      <color rgb="FF000000"/>
      <name val="宋体"/>
      <charset val="0"/>
    </font>
    <font>
      <sz val="12"/>
      <name val="微软雅黑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9" fillId="0" borderId="0">
      <alignment vertical="center"/>
    </xf>
    <xf numFmtId="0" fontId="20" fillId="0" borderId="0">
      <alignment vertical="center"/>
    </xf>
    <xf numFmtId="0" fontId="0" fillId="2" borderId="2">
      <alignment vertical="center"/>
    </xf>
    <xf numFmtId="0" fontId="21" fillId="0" borderId="0">
      <alignment vertical="center"/>
    </xf>
    <xf numFmtId="0" fontId="22" fillId="0" borderId="0">
      <alignment vertical="center"/>
    </xf>
    <xf numFmtId="0" fontId="23" fillId="0" borderId="0">
      <alignment vertical="center"/>
    </xf>
    <xf numFmtId="0" fontId="24" fillId="0" borderId="3">
      <alignment vertical="center"/>
    </xf>
    <xf numFmtId="0" fontId="25" fillId="0" borderId="3">
      <alignment vertical="center"/>
    </xf>
    <xf numFmtId="0" fontId="26" fillId="0" borderId="4">
      <alignment vertical="center"/>
    </xf>
    <xf numFmtId="0" fontId="26" fillId="0" borderId="0">
      <alignment vertical="center"/>
    </xf>
    <xf numFmtId="0" fontId="27" fillId="3" borderId="5">
      <alignment vertical="center"/>
    </xf>
    <xf numFmtId="0" fontId="28" fillId="4" borderId="6">
      <alignment vertical="center"/>
    </xf>
    <xf numFmtId="0" fontId="29" fillId="4" borderId="5">
      <alignment vertical="center"/>
    </xf>
    <xf numFmtId="0" fontId="30" fillId="5" borderId="7">
      <alignment vertical="center"/>
    </xf>
    <xf numFmtId="0" fontId="31" fillId="0" borderId="8">
      <alignment vertical="center"/>
    </xf>
    <xf numFmtId="0" fontId="32" fillId="0" borderId="9">
      <alignment vertical="center"/>
    </xf>
    <xf numFmtId="0" fontId="33" fillId="6" borderId="0">
      <alignment vertical="center"/>
    </xf>
    <xf numFmtId="0" fontId="34" fillId="7" borderId="0">
      <alignment vertical="center"/>
    </xf>
    <xf numFmtId="0" fontId="35" fillId="8" borderId="0">
      <alignment vertical="center"/>
    </xf>
    <xf numFmtId="0" fontId="36" fillId="9" borderId="0">
      <alignment vertical="center"/>
    </xf>
    <xf numFmtId="0" fontId="37" fillId="10" borderId="0">
      <alignment vertical="center"/>
    </xf>
    <xf numFmtId="0" fontId="37" fillId="11" borderId="0">
      <alignment vertical="center"/>
    </xf>
    <xf numFmtId="0" fontId="36" fillId="12" borderId="0">
      <alignment vertical="center"/>
    </xf>
    <xf numFmtId="0" fontId="36" fillId="13" borderId="0">
      <alignment vertical="center"/>
    </xf>
    <xf numFmtId="0" fontId="37" fillId="14" borderId="0">
      <alignment vertical="center"/>
    </xf>
    <xf numFmtId="0" fontId="37" fillId="15" borderId="0">
      <alignment vertical="center"/>
    </xf>
    <xf numFmtId="0" fontId="36" fillId="16" borderId="0">
      <alignment vertical="center"/>
    </xf>
    <xf numFmtId="0" fontId="36" fillId="17" borderId="0">
      <alignment vertical="center"/>
    </xf>
    <xf numFmtId="0" fontId="37" fillId="18" borderId="0">
      <alignment vertical="center"/>
    </xf>
    <xf numFmtId="0" fontId="37" fillId="19" borderId="0">
      <alignment vertical="center"/>
    </xf>
    <xf numFmtId="0" fontId="36" fillId="20" borderId="0">
      <alignment vertical="center"/>
    </xf>
    <xf numFmtId="0" fontId="36" fillId="21" borderId="0">
      <alignment vertical="center"/>
    </xf>
    <xf numFmtId="0" fontId="37" fillId="22" borderId="0">
      <alignment vertical="center"/>
    </xf>
    <xf numFmtId="0" fontId="37" fillId="23" borderId="0">
      <alignment vertical="center"/>
    </xf>
    <xf numFmtId="0" fontId="36" fillId="24" borderId="0">
      <alignment vertical="center"/>
    </xf>
    <xf numFmtId="0" fontId="36" fillId="25" borderId="0">
      <alignment vertical="center"/>
    </xf>
    <xf numFmtId="0" fontId="37" fillId="26" borderId="0">
      <alignment vertical="center"/>
    </xf>
    <xf numFmtId="0" fontId="37" fillId="27" borderId="0">
      <alignment vertical="center"/>
    </xf>
    <xf numFmtId="0" fontId="36" fillId="28" borderId="0">
      <alignment vertical="center"/>
    </xf>
    <xf numFmtId="0" fontId="36" fillId="29" borderId="0">
      <alignment vertical="center"/>
    </xf>
    <xf numFmtId="0" fontId="37" fillId="30" borderId="0">
      <alignment vertical="center"/>
    </xf>
    <xf numFmtId="0" fontId="37" fillId="31" borderId="0">
      <alignment vertical="center"/>
    </xf>
    <xf numFmtId="0" fontId="36" fillId="32" borderId="0">
      <alignment vertical="center"/>
    </xf>
  </cellStyleXfs>
  <cellXfs count="52">
    <xf numFmtId="0" fontId="0" fillId="0" borderId="0" xfId="0" applyAlignment="1">
      <alignment vertical="center"/>
    </xf>
    <xf numFmtId="0" fontId="1" fillId="0" borderId="0" xfId="0" applyFont="1" applyFill="1" applyAlignment="1">
      <alignment horizontal="left" vertical="center" wrapText="1"/>
    </xf>
    <xf numFmtId="0" fontId="2" fillId="0" borderId="0" xfId="0" applyFont="1" applyFill="1" applyAlignment="1">
      <alignment horizontal="left" vertical="center" wrapText="1"/>
    </xf>
    <xf numFmtId="0" fontId="2" fillId="0" borderId="0" xfId="0" applyFont="1" applyFill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 wrapText="1"/>
    </xf>
    <xf numFmtId="0" fontId="3" fillId="0" borderId="0" xfId="0" applyFont="1" applyFill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4" fillId="0" borderId="0" xfId="0" applyNumberFormat="1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Border="1" applyAlignment="1">
      <alignment horizontal="center" vertical="center"/>
    </xf>
    <xf numFmtId="176" fontId="6" fillId="0" borderId="1" xfId="0" applyNumberFormat="1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3" fillId="0" borderId="0" xfId="0" applyFont="1" applyFill="1" applyAlignment="1">
      <alignment horizontal="left" vertical="center" wrapText="1"/>
    </xf>
    <xf numFmtId="0" fontId="6" fillId="0" borderId="0" xfId="0" applyFont="1" applyAlignment="1">
      <alignment horizontal="left" vertical="center" wrapText="1"/>
    </xf>
    <xf numFmtId="0" fontId="7" fillId="0" borderId="0" xfId="0" applyFont="1" applyFill="1" applyAlignment="1">
      <alignment horizontal="left" vertical="center" wrapText="1"/>
    </xf>
    <xf numFmtId="0" fontId="7" fillId="0" borderId="0" xfId="0" applyFont="1" applyAlignment="1">
      <alignment horizontal="center" vertical="center" wrapText="1"/>
    </xf>
    <xf numFmtId="0" fontId="7" fillId="0" borderId="0" xfId="0" applyFont="1" applyAlignment="1">
      <alignment horizontal="left" vertical="center" wrapText="1"/>
    </xf>
    <xf numFmtId="0" fontId="7" fillId="0" borderId="0" xfId="0" applyNumberFormat="1" applyFont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left" vertical="center" wrapText="1"/>
    </xf>
    <xf numFmtId="0" fontId="7" fillId="0" borderId="1" xfId="0" applyFont="1" applyFill="1" applyBorder="1" applyAlignment="1">
      <alignment vertical="center" wrapText="1"/>
    </xf>
    <xf numFmtId="0" fontId="8" fillId="0" borderId="1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center" vertical="center" wrapText="1"/>
    </xf>
    <xf numFmtId="0" fontId="7" fillId="0" borderId="1" xfId="0" applyNumberFormat="1" applyFont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left" vertical="center" wrapText="1"/>
    </xf>
    <xf numFmtId="0" fontId="6" fillId="0" borderId="1" xfId="0" applyNumberFormat="1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10" fillId="0" borderId="0" xfId="0" applyNumberFormat="1" applyFont="1" applyAlignment="1">
      <alignment horizontal="center" vertical="center" wrapText="1"/>
    </xf>
    <xf numFmtId="0" fontId="11" fillId="0" borderId="0" xfId="0" applyFont="1" applyFill="1" applyAlignment="1"/>
    <xf numFmtId="0" fontId="12" fillId="0" borderId="0" xfId="0" applyFont="1" applyFill="1" applyAlignment="1"/>
    <xf numFmtId="0" fontId="13" fillId="0" borderId="0" xfId="0" applyFont="1" applyFill="1" applyAlignment="1">
      <alignment vertical="center"/>
    </xf>
    <xf numFmtId="0" fontId="14" fillId="0" borderId="0" xfId="0" applyFont="1" applyFill="1" applyAlignment="1">
      <alignment horizontal="center" vertical="center" wrapText="1"/>
    </xf>
    <xf numFmtId="0" fontId="15" fillId="0" borderId="0" xfId="0" applyFont="1" applyFill="1" applyAlignment="1">
      <alignment horizontal="left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/>
    </xf>
    <xf numFmtId="177" fontId="18" fillId="0" borderId="1" xfId="0" applyNumberFormat="1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3" Type="http://schemas.openxmlformats.org/officeDocument/2006/relationships/image" Target="media/image93.png"/><Relationship Id="rId92" Type="http://schemas.openxmlformats.org/officeDocument/2006/relationships/image" Target="media/image92.png"/><Relationship Id="rId91" Type="http://schemas.openxmlformats.org/officeDocument/2006/relationships/image" Target="media/image91.jpeg"/><Relationship Id="rId90" Type="http://schemas.openxmlformats.org/officeDocument/2006/relationships/image" Target="media/image90.png"/><Relationship Id="rId9" Type="http://schemas.openxmlformats.org/officeDocument/2006/relationships/image" Target="media/image9.pn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png"/><Relationship Id="rId85" Type="http://schemas.openxmlformats.org/officeDocument/2006/relationships/image" Target="media/image85.png"/><Relationship Id="rId84" Type="http://schemas.openxmlformats.org/officeDocument/2006/relationships/image" Target="media/image84.png"/><Relationship Id="rId83" Type="http://schemas.openxmlformats.org/officeDocument/2006/relationships/image" Target="media/image83.png"/><Relationship Id="rId82" Type="http://schemas.openxmlformats.org/officeDocument/2006/relationships/image" Target="media/image82.png"/><Relationship Id="rId81" Type="http://schemas.openxmlformats.org/officeDocument/2006/relationships/image" Target="media/image81.png"/><Relationship Id="rId80" Type="http://schemas.openxmlformats.org/officeDocument/2006/relationships/image" Target="media/image80.png"/><Relationship Id="rId8" Type="http://schemas.openxmlformats.org/officeDocument/2006/relationships/image" Target="media/image8.png"/><Relationship Id="rId79" Type="http://schemas.openxmlformats.org/officeDocument/2006/relationships/image" Target="media/image79.png"/><Relationship Id="rId78" Type="http://schemas.openxmlformats.org/officeDocument/2006/relationships/image" Target="media/image78.jpeg"/><Relationship Id="rId77" Type="http://schemas.openxmlformats.org/officeDocument/2006/relationships/image" Target="media/image77.png"/><Relationship Id="rId76" Type="http://schemas.openxmlformats.org/officeDocument/2006/relationships/image" Target="media/image76.pn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png"/><Relationship Id="rId72" Type="http://schemas.openxmlformats.org/officeDocument/2006/relationships/image" Target="media/image72.png"/><Relationship Id="rId71" Type="http://schemas.openxmlformats.org/officeDocument/2006/relationships/image" Target="media/image71.png"/><Relationship Id="rId70" Type="http://schemas.openxmlformats.org/officeDocument/2006/relationships/image" Target="media/image70.png"/><Relationship Id="rId7" Type="http://schemas.openxmlformats.org/officeDocument/2006/relationships/image" Target="media/image7.png"/><Relationship Id="rId69" Type="http://schemas.openxmlformats.org/officeDocument/2006/relationships/image" Target="media/image69.png"/><Relationship Id="rId68" Type="http://schemas.openxmlformats.org/officeDocument/2006/relationships/image" Target="media/image68.png"/><Relationship Id="rId67" Type="http://schemas.openxmlformats.org/officeDocument/2006/relationships/image" Target="media/image6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pn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jpe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2.xml"/><Relationship Id="rId8" Type="http://schemas.openxmlformats.org/officeDocument/2006/relationships/externalLink" Target="externalLinks/externalLink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3" Type="http://schemas.openxmlformats.org/officeDocument/2006/relationships/styles" Target="styles.xml"/><Relationship Id="rId32" Type="http://www.wps.cn/officeDocument/2020/cellImage" Target="cellimages.xml"/><Relationship Id="rId31" Type="http://schemas.openxmlformats.org/officeDocument/2006/relationships/sharedStrings" Target="sharedStrings.xml"/><Relationship Id="rId30" Type="http://schemas.openxmlformats.org/officeDocument/2006/relationships/theme" Target="theme/theme1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22.xml"/><Relationship Id="rId28" Type="http://schemas.openxmlformats.org/officeDocument/2006/relationships/externalLink" Target="externalLinks/externalLink21.xml"/><Relationship Id="rId27" Type="http://schemas.openxmlformats.org/officeDocument/2006/relationships/externalLink" Target="externalLinks/externalLink20.xml"/><Relationship Id="rId26" Type="http://schemas.openxmlformats.org/officeDocument/2006/relationships/externalLink" Target="externalLinks/externalLink19.xml"/><Relationship Id="rId25" Type="http://schemas.openxmlformats.org/officeDocument/2006/relationships/externalLink" Target="externalLinks/externalLink18.xml"/><Relationship Id="rId24" Type="http://schemas.openxmlformats.org/officeDocument/2006/relationships/externalLink" Target="externalLinks/externalLink17.xml"/><Relationship Id="rId23" Type="http://schemas.openxmlformats.org/officeDocument/2006/relationships/externalLink" Target="externalLinks/externalLink16.xml"/><Relationship Id="rId22" Type="http://schemas.openxmlformats.org/officeDocument/2006/relationships/externalLink" Target="externalLinks/externalLink15.xml"/><Relationship Id="rId21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3.xml"/><Relationship Id="rId2" Type="http://schemas.openxmlformats.org/officeDocument/2006/relationships/worksheet" Target="worksheets/sheet2.xml"/><Relationship Id="rId19" Type="http://schemas.openxmlformats.org/officeDocument/2006/relationships/externalLink" Target="externalLinks/externalLink12.xml"/><Relationship Id="rId18" Type="http://schemas.openxmlformats.org/officeDocument/2006/relationships/externalLink" Target="externalLinks/externalLink11.xml"/><Relationship Id="rId17" Type="http://schemas.openxmlformats.org/officeDocument/2006/relationships/externalLink" Target="externalLinks/externalLink10.xml"/><Relationship Id="rId16" Type="http://schemas.openxmlformats.org/officeDocument/2006/relationships/externalLink" Target="externalLinks/externalLink9.xml"/><Relationship Id="rId15" Type="http://schemas.openxmlformats.org/officeDocument/2006/relationships/externalLink" Target="externalLinks/externalLink8.xml"/><Relationship Id="rId14" Type="http://schemas.openxmlformats.org/officeDocument/2006/relationships/externalLink" Target="externalLinks/externalLink7.xml"/><Relationship Id="rId13" Type="http://schemas.openxmlformats.org/officeDocument/2006/relationships/externalLink" Target="externalLinks/externalLink6.xml"/><Relationship Id="rId12" Type="http://schemas.openxmlformats.org/officeDocument/2006/relationships/externalLink" Target="externalLinks/externalLink5.xml"/><Relationship Id="rId11" Type="http://schemas.openxmlformats.org/officeDocument/2006/relationships/externalLink" Target="externalLinks/externalLink4.xml"/><Relationship Id="rId10" Type="http://schemas.openxmlformats.org/officeDocument/2006/relationships/externalLink" Target="externalLinks/externalLink3.xml"/><Relationship Id="rId1" Type="http://schemas.openxmlformats.org/officeDocument/2006/relationships/worksheet" Target="worksheets/sheet1.xml"/></Relationships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&#29992;&#25143;&#30446;&#24405;\&#25105;&#30340;&#25991;&#26723;\WeChat%20Files\yuetao9178\Files\&#24037;&#31243;&#37327;&#35745;&#31639;&#20070;&#27169;&#26495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658;&#36890;&#27704;&#36798;\&#20975;&#33589;&#35946;&#22253;\&#20975;&#33589;&#35946;&#22253;&#32467;&#31639;\&#20013;&#24515;&#21306;&#24037;&#31243;&#32467;&#31639;\&#22320;&#19979;&#23460;&#24037;&#31243;\&#38050;&#31563;-&#22522;&#30784;&#2675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Bruce\Desktop\&#23450;&#39069;&#20998;&#26512;&#34920;(&#30452;&#34920;)%20&#31354;&#27668;&#24320;&#20851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work\&#35299;&#25918;&#21335;&#24191;&#22330;\&#24635;&#21253;&#21644;&#20998;&#21253;&#21512;&#21516;\&#24149;&#22681;&#26045;&#24037;&#21512;&#21516;(&#21150;&#20844;&#27004;)\&#32654;&#29305;&#25237;&#26631;&#25991;&#20214;(&#21150;&#20844;&#27004;)\&#21830;&#21153;&#20998;&#20876;\EXCEL&#34920;5-3&#24037;&#26009;&#26426;&#20998;&#26512;&#34920;1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web-gzdc\&#25104;&#26412;&#37096;&#25991;&#20214;\DOCUME~1\yaoj\LOCALS~1\Temp\107&#24037;&#20316;&#65293;home\&#22478;&#33457;\&#33829;&#38144;&#36153;&#29992;&#21512;&#21516;&#65293;&#20184;&#27454;&#65288;&#22478;&#33457;&#65289;0109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94;&#19979;&#30427;&#19968;&#36130;&#21153;&#36164;&#26009;\2007&#24180;\&#19975;&#31185;&#25112;&#30053;&#24615;&#21512;&#20316;&#35745;&#30011;\&#28145;&#22323;\&#28145;&#22323;&#31532;&#20116;&#22253;\2007&#24180;12&#26376;28&#26085;\&#19975;&#31185;\&#20869;&#37096;\&#31532;5&#22290;&#25104;&#26412;&#26680;&#31639;&#34920;2007-12-2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&#20313;&#27589;&#28304;\&#24037;&#31243;&#37327;&#35745;&#31639;&#24335;\&#24037;&#31243;&#37327;&#35745;&#31639;(&#27169;)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Z:\&#26494;&#19979;&#30427;&#19968;&#36130;&#21153;&#36164;&#26009;\2007&#24180;\&#19975;&#31185;&#25112;&#30053;&#24615;&#21512;&#20316;&#35745;&#30011;\&#28145;&#22323;\&#28145;&#22323;&#31532;&#20116;&#22253;\2007&#24180;12&#26376;28&#26085;\&#19975;&#31185;\&#31532;5&#22290;&#39044;&#31639;&#31995;&#32479;2007-12-2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31243;&#36896;&#20215;&#19987;&#29992;\1EXCEL&#35745;&#31639;&#24037;&#31243;&#37327;&#38598;&#38182;\&#24037;&#31243;&#37327;&#35745;&#31639;&#27169;&#26495;&#36739;&#22909;&#30340;\&#23433;&#35013;&#24037;&#31243;&#24037;&#31243;&#37327;&#35745;&#31639;&#36739;&#22909;&#21487;&#20197;&#27719;&#24635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631;&#24213;\&#20016;&#30000;\&#22303;&#24314;&#24037;&#31243;&#37327;&#35745;&#31639;&#24335;&#21464;&#21387;&#22120;&#25151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\work\&#23425;&#27874;&#19975;&#36798;\&#19975;&#36798;&#19977;&#21306;&#22303;&#24314;&#35745;&#31639;&#20070;\&#19996;&#21306;&#22303;&#24314;&#35745;&#31639;&#20070;\Documents%20and%20Settings\vip\&#26700;&#38754;\&#19975;&#31185;\&#21335;&#26124;&#19975;&#31185;\&#30732;&#20307;&#24037;&#31243;&#35745;&#31639;&#34920;(03.04.14&#20462;&#27491;)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\&#29992;&#25143;&#30446;&#24405;\&#25105;&#30340;&#25991;&#26723;\WeChat%20Files\yuetao9178\Files\&#24037;&#31243;&#37327;&#35745;&#31639;&#20070;\&#25151;&#31649;&#23616;&#35013;&#39280;&#24037;&#31243;&#37327;&#35745;&#31639;&#20070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94;&#19979;&#30427;&#19968;&#36130;&#21153;&#36164;&#26009;\2007&#24180;\&#19975;&#31185;&#25112;&#30053;&#24615;&#21512;&#20316;&#35745;&#30011;\&#28145;&#22323;\&#28145;&#22323;&#31532;&#20116;&#22253;\2007&#24180;12&#26376;28&#26085;\&#19975;&#31185;\&#31532;5&#22290;&#39044;&#31639;&#31995;&#32479;2007-12-24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bgf\Desktop\&#24037;&#31243;&#39033;&#30446;&#25104;&#26412;&#27979;&#31639;&#34920;_&#39033;&#30446;&#21517;&#31216;_20140918&#20462;&#35746;.xlsx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Users\zhangt3\Desktop\&#27169;&#25311;&#28165;&#21333;&#35752;&#35770;&#20248;&#21270;2015.9.6\&#24037;&#31243;&#37327;&#28165;&#21333;&#25253;&#20215;&#34920;(&#23553;&#38754;)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YINLEI~1.XIN\AppData\Local\Temp\file:\E:\Program%20Files\Tencent\QQ\Users\23212591\FileRecv\&#23452;&#26124;&#19975;&#36798;&#24191;&#22330;&#22303;&#24314;&#24037;&#31243;&#37327;&#28165;&#21333;&#65288;1-12#&#65289;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631;&#20934;&#21270;&#20225;&#19994;&#23450;&#39069;\2016.11.28&#29256;&#26412;&#25171;&#21360;\&#31532;&#20108;&#31456;%20%20&#26729;&#22522;&#24037;&#31243;&#65288;&#31649;&#26729;&#37096;&#20998;&#65289;.xlsx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556;&#27743;&#39033;&#30446;&#24037;&#31243;\&#20998;&#21253;&#24037;&#31243;\&#23460;&#22806;&#30005;&#32518;&#27807;\&#28165;&#21333;&#35780;&#23457;\01&#33487;&#24030;&#28286;&#19978;&#39118;&#21326;&#19968;&#26399;&#23460;&#22806;&#30005;&#32518;&#27807;&#24037;&#31243;&#37327;&#28165;&#21333;1.9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Program%20Files\Tencent\QQ\Users\23212591\FileRecv\&#23452;&#26124;&#19975;&#36798;&#24191;&#22330;&#22303;&#24314;&#24037;&#31243;&#37327;&#28165;&#21333;&#65288;1-12#&#65289;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a-housing.com\&#24037;&#31243;&#36164;&#26009;\&#19975;&#31185;\&#22478;&#33457;&#20843;&#26399;&#32467;&#31639;\&#38468;&#20214;3-1%20&#25237;&#26631;&#25253;&#20215;&#28165;&#21333;&#65288;&#21512;&#21516;&#20215;&#65289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20316;\4&#12289;&#25968;&#25454;&#24211;\&#20225;&#19994;&#23450;&#39069;&#26368;&#32456;&#29256;\20161220&#19987;&#19994;&#20998;&#21253;&#20225;&#19994;&#23450;&#39069;\&#31532;&#20108;&#31456;%20%20%20%20%20&#26729;&#22522;&#24037;&#31243;\&#31532;&#20108;&#31456;%20%20&#26729;&#22522;&#24037;&#31243;&#65288;&#31649;&#26729;&#37096;&#20998;&#65289;.xlsx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\Documents\WeChat%20Files\zhouyanfang_2000\FileStorage\File\2019-05\&#31934;&#35013;&#20462;&#24847;&#35265;&#25910;&#38598;\&#38468;&#20214;&#19977;%20%20%20&#12304;%2018-8-17%20&#28165;&#21333;&#12305;&#21477;&#23481;&#24344;&#38451;&#23665;&#21375;&#26223;&#35266;&#24037;&#31243;&#25307;&#26631;&#28165;&#21333;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封面"/>
      <sheetName val="汇总表"/>
      <sheetName val="计算式"/>
      <sheetName val="钢架含量测算"/>
      <sheetName val="Sheet2"/>
      <sheetName val="Sheet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内围地梁钢筋说明"/>
    </sheetNames>
    <sheetDataSet>
      <sheetData sheetId="0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G2TempSheet"/>
      <sheetName val="费用表"/>
    </sheetNames>
    <sheetDataSet>
      <sheetData sheetId="0" refreshError="1"/>
      <sheetData sheetId="1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Template"/>
      <sheetName val="XLR_NoRangeSheet"/>
    </sheetNames>
    <sheetDataSet>
      <sheetData sheetId="0" refreshError="1"/>
      <sheetData sheetId="1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5201.2004"/>
      <sheetName val="4301.2004ch"/>
      <sheetName val="城花营销费用"/>
      <sheetName val="预算执行情况 (2)"/>
      <sheetName val="大表2004"/>
      <sheetName val="预算执行情况"/>
      <sheetName val="城花费用明细新"/>
      <sheetName val="城花营销费用预算"/>
      <sheetName val="大表"/>
      <sheetName val="11-12"/>
      <sheetName val="4301"/>
      <sheetName val="比较"/>
      <sheetName val="建筑面积 "/>
      <sheetName val="Parameters"/>
      <sheetName val="内围地梁钢筋说明"/>
      <sheetName val="汇总表"/>
      <sheetName val="工程量计算书"/>
      <sheetName val="XLR_NoRangeSheet"/>
      <sheetName val="目录"/>
      <sheetName val="Note 1 - Recon Profit"/>
      <sheetName val="Cash Flow Statement"/>
      <sheetName val="组团面积"/>
      <sheetName val="套数"/>
      <sheetName val="总指标"/>
      <sheetName val="基础资料（B）"/>
      <sheetName val="单方成本测算(帐面)"/>
      <sheetName val="成本结转表(IFRS)"/>
      <sheetName val="2004年"/>
      <sheetName val="2006年"/>
      <sheetName val="2005年"/>
      <sheetName val="资本化利息分配表"/>
      <sheetName val="面积指标"/>
      <sheetName val="Aging Datasheet"/>
      <sheetName val="参数表"/>
      <sheetName val="CFS"/>
      <sheetName val="敏感参数"/>
      <sheetName val="写字楼B"/>
      <sheetName val="#REF!"/>
      <sheetName val="21"/>
      <sheetName val="墙面工程"/>
      <sheetName val="名称"/>
      <sheetName val="规划指标"/>
      <sheetName val="计算表"/>
      <sheetName val="土建工程综合单价表"/>
      <sheetName val="综合单价汇总表"/>
      <sheetName val="财务费用"/>
      <sheetName val="收入与成本"/>
      <sheetName val="销售比率"/>
      <sheetName val="枣园--建安-间接"/>
      <sheetName val="土建工程综合单价组价明细表"/>
      <sheetName val="全期规划指标 "/>
      <sheetName val="承台(砖模) "/>
      <sheetName val="柱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基础项目"/>
      <sheetName val="预算总表"/>
      <sheetName val="预算明细"/>
      <sheetName val="松下成品柜"/>
      <sheetName val="整体厨房"/>
      <sheetName val="预算制作明细"/>
      <sheetName val="辅材组成"/>
      <sheetName val="人工组成"/>
      <sheetName val="辅材统计"/>
      <sheetName val="主材统计"/>
      <sheetName val="成本分析表"/>
      <sheetName val="管理费用"/>
      <sheetName val="墙面工程"/>
      <sheetName val="工程量计算书"/>
      <sheetName val="5201.2004"/>
      <sheetName val="梁"/>
      <sheetName val="土建组价明细"/>
      <sheetName val="汇总表"/>
      <sheetName val="内围地梁钢筋说明"/>
      <sheetName val="建面及桩基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承台(砖模) "/>
      <sheetName val="柱"/>
      <sheetName val="甲供料表"/>
      <sheetName val="人工挖孔桩"/>
      <sheetName val="承台(木模)"/>
      <sheetName val="基础梁"/>
      <sheetName val="梁"/>
      <sheetName val="计算试"/>
      <sheetName val="砖墙"/>
      <sheetName val="门窗表"/>
      <sheetName val="基础项目"/>
      <sheetName val="电气设置"/>
      <sheetName val="电气计算"/>
      <sheetName val="内围地梁钢筋说明"/>
      <sheetName val="土建直接费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墙面工程"/>
      <sheetName val="预算总表"/>
      <sheetName val="预算明细"/>
      <sheetName val="预算制作"/>
      <sheetName val="项目分类"/>
      <sheetName val="地面工程"/>
      <sheetName val="顶面工程"/>
      <sheetName val="门窗工程"/>
      <sheetName val="水电工程"/>
      <sheetName val="拆除工程"/>
      <sheetName val="制作项目"/>
      <sheetName val="其他工程"/>
      <sheetName val="购买主材"/>
      <sheetName val="5201.2004"/>
      <sheetName val="基础项目"/>
      <sheetName val="承台(砖模) "/>
      <sheetName val="柱"/>
      <sheetName val="B4零星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封面"/>
      <sheetName val="工程计算项目列表"/>
      <sheetName val="工程量计算表"/>
      <sheetName val="工程量汇总表"/>
      <sheetName val="作法及图集选用表"/>
      <sheetName val="使用说明"/>
      <sheetName val="常用辅助资料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建筑面积 "/>
      <sheetName val="细部结构"/>
      <sheetName val="条型基础"/>
      <sheetName val="基础"/>
      <sheetName val="柱"/>
      <sheetName val="梁"/>
      <sheetName val="平楼板表(进度)"/>
      <sheetName val="钢筋"/>
      <sheetName val="Sheet3"/>
      <sheetName val="承台(砖模) "/>
      <sheetName val="工程量计算书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门窗表"/>
      <sheetName val="1层砌体"/>
      <sheetName val="汇总"/>
      <sheetName val="1层边"/>
      <sheetName val="1层中"/>
      <sheetName val="2层边"/>
      <sheetName val="2层中"/>
      <sheetName val="3层边"/>
      <sheetName val="3层中"/>
      <sheetName val="4层边"/>
      <sheetName val="4层中"/>
      <sheetName val="夹层边"/>
      <sheetName val="夹层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封面"/>
      <sheetName val="汇总表"/>
      <sheetName val="计算表"/>
      <sheetName val="单位库"/>
      <sheetName val="使用说明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墙面工程"/>
      <sheetName val="预算总表"/>
      <sheetName val="预算明细"/>
      <sheetName val="预算制作"/>
      <sheetName val="项目分类"/>
      <sheetName val="地面工程"/>
      <sheetName val="顶面工程"/>
      <sheetName val="门窗工程"/>
      <sheetName val="水电工程"/>
      <sheetName val="拆除工程"/>
      <sheetName val="制作项目"/>
      <sheetName val="其他工程"/>
      <sheetName val="购买主材"/>
      <sheetName val="XLR_NoRangeSheet"/>
      <sheetName val="工程量计算书"/>
      <sheetName val="基础项目"/>
      <sheetName val="5201.2004"/>
      <sheetName val="B4零星"/>
      <sheetName val="承台(砖模) "/>
      <sheetName val="柱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AUJWEJ"/>
      <sheetName val="说明"/>
      <sheetName val="报表目录"/>
      <sheetName val="测算审定表"/>
      <sheetName val="测算汇总对比表"/>
      <sheetName val="测算对比表"/>
      <sheetName val="测算汇总表"/>
      <sheetName val="人工费测算模板2"/>
      <sheetName val="人工费测算模板1"/>
      <sheetName val="主控材料表"/>
      <sheetName val="主控材料询价表"/>
      <sheetName val="工程暂定价材料统计表"/>
      <sheetName val="间接费用测算表"/>
      <sheetName val="工程报价偏离表"/>
      <sheetName val="工程预算增补"/>
      <sheetName val="2014年人工指导价"/>
      <sheetName val="项目名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  <sheetName val="Sheet3"/>
      <sheetName val="土建工程综合单价表"/>
      <sheetName val="土建工程综合单价组价明细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指标及含量分配"/>
      <sheetName val="填报指引"/>
      <sheetName val="清单总目录"/>
      <sheetName val="投标总价表"/>
      <sheetName val="1.1#清单"/>
      <sheetName val="1.2#清单"/>
      <sheetName val="1.3#清单"/>
      <sheetName val="2∽12#土建工程量清单计价汇总表"/>
      <sheetName val="大商业部分清单"/>
      <sheetName val="大商业中酒店、商铺"/>
      <sheetName val="住宅楼部分"/>
      <sheetName val="土建工程综合单价表"/>
      <sheetName val="土建工程综合单价组价明细表"/>
      <sheetName val="施工参考单价报价表"/>
      <sheetName val="其它工作项目报价清单"/>
      <sheetName val="甲指乙供材料报价表"/>
      <sheetName val="07主材单价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章节封面"/>
      <sheetName val="编制说明"/>
      <sheetName val="管桩工程"/>
      <sheetName val="管桩主材表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硬景"/>
      <sheetName val="封面"/>
      <sheetName val="目录"/>
      <sheetName val="1、投标函"/>
      <sheetName val="2、报价总说明"/>
      <sheetName val="3、报价汇总表"/>
      <sheetName val="4、费率报价表"/>
      <sheetName val="D组团安装"/>
      <sheetName val="C组团安装"/>
      <sheetName val="5、工程量清单"/>
      <sheetName val="6、零星工程清单"/>
      <sheetName val="7、主材单价表"/>
      <sheetName val="工程量计算稿"/>
      <sheetName val="土建工程综合单价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指标及含量分配"/>
      <sheetName val="填报指引"/>
      <sheetName val="清单总目录"/>
      <sheetName val="投标总价表"/>
      <sheetName val="1.1#清单"/>
      <sheetName val="1.2#清单"/>
      <sheetName val="1.3#清单"/>
      <sheetName val="2∽12#土建工程量清单计价汇总表"/>
      <sheetName val="大商业部分清单"/>
      <sheetName val="大商业中酒店、商铺"/>
      <sheetName val="住宅楼部分"/>
      <sheetName val="土建工程综合单价表"/>
      <sheetName val="土建工程综合单价组价明细表"/>
      <sheetName val="施工参考单价报价表"/>
      <sheetName val="其它工作项目报价清单"/>
      <sheetName val="甲指乙供材料报价表"/>
      <sheetName val="管桩主材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城花八期报价汇总表"/>
      <sheetName val="A区土建±0.00以下土建工程"/>
      <sheetName val="A区土建±0.00以上建工程"/>
      <sheetName val="B区土建工程"/>
      <sheetName val="电气"/>
      <sheetName val="给排水"/>
      <sheetName val="A区土建±0.00以下清单调整报价表"/>
      <sheetName val="A区土建±0.00以上清单调整报价表"/>
      <sheetName val="B区土建清单调整报价表"/>
      <sheetName val="电气清单调整报价表"/>
      <sheetName val="给排水清单调整报价表"/>
      <sheetName val="甲指乙供材料报价表"/>
      <sheetName val="施工参考单价报价表"/>
      <sheetName val="其它工作项目报价清单"/>
      <sheetName val="包干费用报价表"/>
      <sheetName val="材料耗用量表"/>
      <sheetName val="甲方、三方分包工程"/>
      <sheetName val="甲方、三方材料"/>
      <sheetName val="土建工程综合单价表"/>
      <sheetName val="土建工程综合单价组价明细表"/>
      <sheetName val="墙面工程"/>
      <sheetName val="模板"/>
      <sheetName val="综合单价表"/>
      <sheetName val="1层大厅"/>
      <sheetName val="1层走道"/>
      <sheetName val="商业服务土建 "/>
      <sheetName val="sheet2"/>
      <sheetName val="5201.2004"/>
      <sheetName val="附件2-土建主材单价表（必填）"/>
      <sheetName val="附件1-主材单价表（必填）"/>
      <sheetName val="名称"/>
      <sheetName val="下拉字段"/>
      <sheetName val="資料庫"/>
      <sheetName val="附件1-主材单价表"/>
      <sheetName val="管桩主材表"/>
      <sheetName val="内围地梁钢筋说明"/>
      <sheetName val="综合单价汇总表"/>
      <sheetName val="下拉菜单"/>
      <sheetName val="售楼部幕墙清单"/>
      <sheetName val="合格证 (2)"/>
      <sheetName val="单位库"/>
      <sheetName val="1#梁侧面积"/>
      <sheetName val="计算式"/>
      <sheetName val="基础项目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章节封面"/>
      <sheetName val="编制说明"/>
      <sheetName val="管桩工程"/>
      <sheetName val="管桩主材表"/>
      <sheetName val="08硬质铺装石材单价表"/>
      <sheetName val="07主材单价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01封面"/>
      <sheetName val="02目录"/>
      <sheetName val="03报价总说明"/>
      <sheetName val="04报价汇总表"/>
      <sheetName val="05费率报价表 "/>
      <sheetName val="06硬景工程量清单报价表1"/>
      <sheetName val="07硬景工程主材单价表"/>
      <sheetName val="08软景工程量清单报价表"/>
      <sheetName val="09安装工程量清单报价表 "/>
      <sheetName val="10安装工程主材单价表 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C9"/>
  <sheetViews>
    <sheetView tabSelected="1" view="pageBreakPreview" zoomScaleNormal="100" workbookViewId="0">
      <pane ySplit="3" topLeftCell="A4" activePane="bottomLeft" state="frozen"/>
      <selection/>
      <selection pane="bottomLeft" activeCell="B4" sqref="B4"/>
    </sheetView>
  </sheetViews>
  <sheetFormatPr defaultColWidth="9.13888888888889" defaultRowHeight="15.6" outlineLevelCol="2"/>
  <cols>
    <col min="1" max="1" width="11.9537037037037" style="43" customWidth="1"/>
    <col min="2" max="2" width="43.0555555555556" style="43" customWidth="1"/>
    <col min="3" max="3" width="17.8703703703704" style="43" customWidth="1"/>
    <col min="4" max="4" width="7.44444444444444" style="43" customWidth="1"/>
    <col min="5" max="16366" width="9.13888888888889" style="43"/>
    <col min="16367" max="16384" width="9.13888888888889" style="44"/>
  </cols>
  <sheetData>
    <row r="1" ht="32" customHeight="1" spans="1:3">
      <c r="A1" s="45" t="s">
        <v>0</v>
      </c>
      <c r="B1" s="45"/>
      <c r="C1" s="45"/>
    </row>
    <row r="2" ht="36" customHeight="1" spans="1:3">
      <c r="A2" s="46" t="s">
        <v>1</v>
      </c>
      <c r="B2" s="46"/>
      <c r="C2" s="46"/>
    </row>
    <row r="3" ht="44" customHeight="1" spans="1:3">
      <c r="A3" s="47" t="s">
        <v>2</v>
      </c>
      <c r="B3" s="47" t="s">
        <v>3</v>
      </c>
      <c r="C3" s="47" t="s">
        <v>4</v>
      </c>
    </row>
    <row r="4" s="42" customFormat="1" ht="48" customHeight="1" spans="1:3">
      <c r="A4" s="48">
        <v>1</v>
      </c>
      <c r="B4" s="49" t="s">
        <v>5</v>
      </c>
      <c r="C4" s="50"/>
    </row>
    <row r="5" s="42" customFormat="1" ht="57" customHeight="1" spans="1:3">
      <c r="A5" s="48">
        <v>2</v>
      </c>
      <c r="B5" s="49" t="s">
        <v>6</v>
      </c>
      <c r="C5" s="51"/>
    </row>
    <row r="6" s="42" customFormat="1" ht="57" customHeight="1" spans="1:3">
      <c r="A6" s="48">
        <v>3</v>
      </c>
      <c r="B6" s="49" t="s">
        <v>7</v>
      </c>
      <c r="C6" s="51"/>
    </row>
    <row r="7" s="42" customFormat="1" ht="57" customHeight="1" spans="1:3">
      <c r="A7" s="48">
        <v>4</v>
      </c>
      <c r="B7" s="49" t="s">
        <v>8</v>
      </c>
      <c r="C7" s="51"/>
    </row>
    <row r="8" s="42" customFormat="1" ht="57" customHeight="1" spans="1:3">
      <c r="A8" s="48">
        <v>5</v>
      </c>
      <c r="B8" s="49" t="s">
        <v>9</v>
      </c>
      <c r="C8" s="51"/>
    </row>
    <row r="9" s="42" customFormat="1" ht="57" customHeight="1" spans="1:3">
      <c r="A9" s="48">
        <v>6</v>
      </c>
      <c r="B9" s="49" t="s">
        <v>10</v>
      </c>
      <c r="C9" s="51"/>
    </row>
  </sheetData>
  <mergeCells count="2">
    <mergeCell ref="A1:C1"/>
    <mergeCell ref="A2:C2"/>
  </mergeCells>
  <pageMargins left="1.25972222222222" right="0.432638888888889" top="0.707638888888889" bottom="0.275" header="0.196527777777778" footer="0.0388888888888889"/>
  <pageSetup paperSize="9" fitToHeight="0" orientation="portrait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36"/>
  <sheetViews>
    <sheetView view="pageBreakPreview" zoomScale="85" zoomScaleNormal="100" workbookViewId="0">
      <pane ySplit="3" topLeftCell="A4" activePane="bottomLeft" state="frozen"/>
      <selection/>
      <selection pane="bottomLeft" activeCell="E24" sqref="E24"/>
    </sheetView>
  </sheetViews>
  <sheetFormatPr defaultColWidth="9" defaultRowHeight="12"/>
  <cols>
    <col min="1" max="2" width="5.12962962962963" style="21" customWidth="1"/>
    <col min="3" max="3" width="9.11111111111111" style="21" customWidth="1"/>
    <col min="4" max="4" width="12.6296296296296" style="22" customWidth="1"/>
    <col min="5" max="5" width="55.4444444444444" style="22" customWidth="1"/>
    <col min="6" max="6" width="9" style="21"/>
    <col min="7" max="7" width="4.75" style="21" customWidth="1"/>
    <col min="8" max="8" width="5.88888888888889" style="21" customWidth="1"/>
    <col min="9" max="9" width="7.44444444444444" style="21" customWidth="1"/>
    <col min="10" max="10" width="8.44444444444444" style="21" customWidth="1"/>
    <col min="11" max="11" width="6.33333333333333" style="21" customWidth="1"/>
    <col min="12" max="12" width="7.87962962962963" style="23" customWidth="1"/>
    <col min="13" max="13" width="11.2222222222222" style="22" customWidth="1"/>
    <col min="14" max="14" width="6.77777777777778" style="22" customWidth="1"/>
    <col min="15" max="16384" width="9" style="22"/>
  </cols>
  <sheetData>
    <row r="1" ht="27" customHeight="1" spans="1:13">
      <c r="A1" s="40" t="s">
        <v>11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1"/>
      <c r="M1" s="40"/>
    </row>
    <row r="2" ht="22" customHeight="1" spans="1:13">
      <c r="A2" s="22" t="s">
        <v>1</v>
      </c>
      <c r="K2" s="22"/>
    </row>
    <row r="3" ht="28" customHeight="1" spans="1:13">
      <c r="A3" s="25" t="s">
        <v>2</v>
      </c>
      <c r="B3" s="25" t="s">
        <v>12</v>
      </c>
      <c r="C3" s="25" t="s">
        <v>13</v>
      </c>
      <c r="D3" s="25" t="s">
        <v>14</v>
      </c>
      <c r="E3" s="25" t="s">
        <v>15</v>
      </c>
      <c r="F3" s="25" t="s">
        <v>16</v>
      </c>
      <c r="G3" s="25" t="s">
        <v>17</v>
      </c>
      <c r="H3" s="25" t="s">
        <v>18</v>
      </c>
      <c r="I3" s="25" t="s">
        <v>19</v>
      </c>
      <c r="J3" s="25" t="s">
        <v>20</v>
      </c>
      <c r="K3" s="25" t="s">
        <v>21</v>
      </c>
      <c r="L3" s="39" t="s">
        <v>22</v>
      </c>
      <c r="M3" s="25" t="s">
        <v>4</v>
      </c>
    </row>
    <row r="4" ht="112" customHeight="1" spans="1:13">
      <c r="A4" s="26">
        <v>1</v>
      </c>
      <c r="B4" s="26" t="s">
        <v>23</v>
      </c>
      <c r="C4" s="26" t="s">
        <v>24</v>
      </c>
      <c r="D4" s="28" t="str">
        <f>_xlfn.DISPIMG("ID_A2B1650528C443E597CA734E04FFC7BE",1)</f>
        <v>=DISPIMG("ID_A2B1650528C443E597CA734E04FFC7BE",1)</v>
      </c>
      <c r="E4" s="29" t="s">
        <v>25</v>
      </c>
      <c r="F4" s="30" t="s">
        <v>26</v>
      </c>
      <c r="G4" s="30" t="s">
        <v>27</v>
      </c>
      <c r="H4" s="30" t="s">
        <v>28</v>
      </c>
      <c r="I4" s="30" t="s">
        <v>29</v>
      </c>
      <c r="J4" s="30" t="s">
        <v>30</v>
      </c>
      <c r="K4" s="26" t="s">
        <v>31</v>
      </c>
      <c r="L4" s="31">
        <v>2</v>
      </c>
      <c r="M4" s="30" t="s">
        <v>32</v>
      </c>
    </row>
    <row r="5" ht="162" customHeight="1" spans="1:13">
      <c r="A5" s="26">
        <f t="shared" ref="A5:A39" si="0">+A4+1</f>
        <v>2</v>
      </c>
      <c r="B5" s="26" t="s">
        <v>33</v>
      </c>
      <c r="C5" s="26" t="s">
        <v>34</v>
      </c>
      <c r="D5" s="28" t="str">
        <f>_xlfn.DISPIMG("ID_C2F0666ABD18421EA55AEF90E9149588",1)</f>
        <v>=DISPIMG("ID_C2F0666ABD18421EA55AEF90E9149588",1)</v>
      </c>
      <c r="E5" s="29" t="s">
        <v>35</v>
      </c>
      <c r="F5" s="30" t="s">
        <v>36</v>
      </c>
      <c r="G5" s="30" t="s">
        <v>27</v>
      </c>
      <c r="H5" s="30" t="s">
        <v>37</v>
      </c>
      <c r="I5" s="30" t="s">
        <v>29</v>
      </c>
      <c r="J5" s="30" t="s">
        <v>30</v>
      </c>
      <c r="K5" s="26" t="s">
        <v>31</v>
      </c>
      <c r="L5" s="31">
        <v>3</v>
      </c>
      <c r="M5" s="30" t="s">
        <v>32</v>
      </c>
    </row>
    <row r="6" ht="58.05" spans="1:13">
      <c r="A6" s="26">
        <f t="shared" si="0"/>
        <v>3</v>
      </c>
      <c r="B6" s="26" t="s">
        <v>38</v>
      </c>
      <c r="C6" s="26" t="s">
        <v>39</v>
      </c>
      <c r="D6" s="27" t="str">
        <f>_xlfn.DISPIMG("ID_08DF029C062B4257AB0CB7D8445170C1",1)</f>
        <v>=DISPIMG("ID_08DF029C062B4257AB0CB7D8445170C1",1)</v>
      </c>
      <c r="E6" s="29" t="s">
        <v>40</v>
      </c>
      <c r="F6" s="30" t="s">
        <v>41</v>
      </c>
      <c r="G6" s="30" t="s">
        <v>27</v>
      </c>
      <c r="H6" s="30" t="s">
        <v>42</v>
      </c>
      <c r="I6" s="30" t="s">
        <v>43</v>
      </c>
      <c r="J6" s="30" t="s">
        <v>44</v>
      </c>
      <c r="K6" s="26" t="s">
        <v>45</v>
      </c>
      <c r="L6" s="31">
        <v>14</v>
      </c>
      <c r="M6" s="30"/>
    </row>
    <row r="7" ht="105" customHeight="1" spans="1:13">
      <c r="A7" s="26">
        <f t="shared" si="0"/>
        <v>4</v>
      </c>
      <c r="B7" s="26" t="s">
        <v>46</v>
      </c>
      <c r="C7" s="26" t="s">
        <v>47</v>
      </c>
      <c r="D7" s="27" t="str">
        <f>_xlfn.DISPIMG("ID_03BF050B46FC48B486F915CD52470C10",1)</f>
        <v>=DISPIMG("ID_03BF050B46FC48B486F915CD52470C10",1)</v>
      </c>
      <c r="E7" s="29" t="s">
        <v>48</v>
      </c>
      <c r="F7" s="30" t="s">
        <v>49</v>
      </c>
      <c r="G7" s="30" t="s">
        <v>27</v>
      </c>
      <c r="H7" s="30" t="s">
        <v>37</v>
      </c>
      <c r="I7" s="30" t="s">
        <v>29</v>
      </c>
      <c r="J7" s="30" t="s">
        <v>30</v>
      </c>
      <c r="K7" s="26" t="s">
        <v>31</v>
      </c>
      <c r="L7" s="31">
        <v>1</v>
      </c>
      <c r="M7" s="30" t="s">
        <v>50</v>
      </c>
    </row>
    <row r="8" ht="123" customHeight="1" spans="1:13">
      <c r="A8" s="26">
        <f t="shared" si="0"/>
        <v>5</v>
      </c>
      <c r="B8" s="26" t="s">
        <v>51</v>
      </c>
      <c r="C8" s="26" t="s">
        <v>52</v>
      </c>
      <c r="D8" s="27" t="str">
        <f>_xlfn.DISPIMG("ID_78A58073103A40BE969028EFF0F5CDC6",1)</f>
        <v>=DISPIMG("ID_78A58073103A40BE969028EFF0F5CDC6",1)</v>
      </c>
      <c r="E8" s="29" t="s">
        <v>53</v>
      </c>
      <c r="F8" s="30" t="s">
        <v>54</v>
      </c>
      <c r="G8" s="30" t="s">
        <v>27</v>
      </c>
      <c r="H8" s="30" t="s">
        <v>55</v>
      </c>
      <c r="I8" s="30" t="s">
        <v>43</v>
      </c>
      <c r="J8" s="30" t="s">
        <v>56</v>
      </c>
      <c r="K8" s="26" t="s">
        <v>31</v>
      </c>
      <c r="L8" s="31">
        <v>9</v>
      </c>
      <c r="M8" s="30"/>
    </row>
    <row r="9" ht="259.2" spans="1:13">
      <c r="A9" s="26">
        <f t="shared" si="0"/>
        <v>6</v>
      </c>
      <c r="B9" s="26" t="s">
        <v>57</v>
      </c>
      <c r="C9" s="26" t="s">
        <v>58</v>
      </c>
      <c r="D9" s="27" t="str">
        <f>_xlfn.DISPIMG("ID_BC9D59ADDFD94F21BAED63627DF9570A",1)</f>
        <v>=DISPIMG("ID_BC9D59ADDFD94F21BAED63627DF9570A",1)</v>
      </c>
      <c r="E9" s="29" t="s">
        <v>59</v>
      </c>
      <c r="F9" s="30" t="s">
        <v>60</v>
      </c>
      <c r="G9" s="30" t="s">
        <v>61</v>
      </c>
      <c r="H9" s="30" t="s">
        <v>37</v>
      </c>
      <c r="I9" s="30" t="s">
        <v>29</v>
      </c>
      <c r="J9" s="30" t="s">
        <v>62</v>
      </c>
      <c r="K9" s="26" t="s">
        <v>31</v>
      </c>
      <c r="L9" s="31">
        <v>2</v>
      </c>
      <c r="M9" s="30" t="s">
        <v>50</v>
      </c>
    </row>
    <row r="10" ht="86.4" spans="1:13">
      <c r="A10" s="26">
        <f t="shared" si="0"/>
        <v>7</v>
      </c>
      <c r="B10" s="26" t="s">
        <v>63</v>
      </c>
      <c r="C10" s="26" t="s">
        <v>64</v>
      </c>
      <c r="D10" s="27" t="str">
        <f>_xlfn.DISPIMG("ID_172D83460046424FA1681F8E2076DD7F",1)</f>
        <v>=DISPIMG("ID_172D83460046424FA1681F8E2076DD7F",1)</v>
      </c>
      <c r="E10" s="29" t="s">
        <v>65</v>
      </c>
      <c r="F10" s="30" t="s">
        <v>66</v>
      </c>
      <c r="G10" s="30" t="s">
        <v>27</v>
      </c>
      <c r="H10" s="30" t="s">
        <v>67</v>
      </c>
      <c r="I10" s="30" t="s">
        <v>43</v>
      </c>
      <c r="J10" s="30" t="s">
        <v>68</v>
      </c>
      <c r="K10" s="26" t="s">
        <v>31</v>
      </c>
      <c r="L10" s="31">
        <v>16</v>
      </c>
      <c r="M10" s="30"/>
    </row>
    <row r="11" ht="151.2" spans="1:13">
      <c r="A11" s="26">
        <f t="shared" si="0"/>
        <v>8</v>
      </c>
      <c r="B11" s="26" t="s">
        <v>69</v>
      </c>
      <c r="C11" s="26" t="s">
        <v>70</v>
      </c>
      <c r="D11" s="27" t="str">
        <f>_xlfn.DISPIMG("ID_74FD0016B7BB4E7CBB80DD53E49AC8E0",1)</f>
        <v>=DISPIMG("ID_74FD0016B7BB4E7CBB80DD53E49AC8E0",1)</v>
      </c>
      <c r="E11" s="29" t="s">
        <v>71</v>
      </c>
      <c r="F11" s="30" t="s">
        <v>72</v>
      </c>
      <c r="G11" s="30" t="s">
        <v>27</v>
      </c>
      <c r="H11" s="30" t="s">
        <v>55</v>
      </c>
      <c r="I11" s="30" t="s">
        <v>43</v>
      </c>
      <c r="J11" s="30" t="s">
        <v>73</v>
      </c>
      <c r="K11" s="26" t="s">
        <v>31</v>
      </c>
      <c r="L11" s="31">
        <v>4</v>
      </c>
      <c r="M11" s="30"/>
    </row>
    <row r="12" ht="43.2" spans="1:13">
      <c r="A12" s="26">
        <f t="shared" si="0"/>
        <v>9</v>
      </c>
      <c r="B12" s="26" t="s">
        <v>74</v>
      </c>
      <c r="C12" s="26" t="s">
        <v>75</v>
      </c>
      <c r="D12" s="27" t="str">
        <f>_xlfn.DISPIMG("ID_D4B3E2479DBC469F8ED59431A78B48BC",1)</f>
        <v>=DISPIMG("ID_D4B3E2479DBC469F8ED59431A78B48BC",1)</v>
      </c>
      <c r="E12" s="29" t="s">
        <v>76</v>
      </c>
      <c r="F12" s="30" t="s">
        <v>77</v>
      </c>
      <c r="G12" s="30" t="s">
        <v>27</v>
      </c>
      <c r="H12" s="30" t="s">
        <v>78</v>
      </c>
      <c r="I12" s="30" t="s">
        <v>43</v>
      </c>
      <c r="J12" s="30" t="s">
        <v>79</v>
      </c>
      <c r="K12" s="26" t="s">
        <v>31</v>
      </c>
      <c r="L12" s="31">
        <v>12</v>
      </c>
      <c r="M12" s="30"/>
    </row>
    <row r="13" ht="113" customHeight="1" spans="1:13">
      <c r="A13" s="26">
        <f t="shared" si="0"/>
        <v>10</v>
      </c>
      <c r="B13" s="26" t="s">
        <v>80</v>
      </c>
      <c r="C13" s="26" t="s">
        <v>81</v>
      </c>
      <c r="D13" s="27" t="str">
        <f>_xlfn.DISPIMG("ID_0B8E57329ED44DE9B90B257BEED8CCE2",1)</f>
        <v>=DISPIMG("ID_0B8E57329ED44DE9B90B257BEED8CCE2",1)</v>
      </c>
      <c r="E13" s="29" t="s">
        <v>82</v>
      </c>
      <c r="F13" s="30" t="s">
        <v>83</v>
      </c>
      <c r="G13" s="30" t="s">
        <v>27</v>
      </c>
      <c r="H13" s="30" t="s">
        <v>67</v>
      </c>
      <c r="I13" s="30" t="s">
        <v>43</v>
      </c>
      <c r="J13" s="30" t="s">
        <v>84</v>
      </c>
      <c r="K13" s="26" t="s">
        <v>31</v>
      </c>
      <c r="L13" s="31">
        <v>126</v>
      </c>
      <c r="M13" s="30"/>
    </row>
    <row r="14" ht="43.2" spans="1:13">
      <c r="A14" s="26">
        <f t="shared" si="0"/>
        <v>11</v>
      </c>
      <c r="B14" s="26" t="s">
        <v>85</v>
      </c>
      <c r="C14" s="26" t="s">
        <v>86</v>
      </c>
      <c r="D14" s="27" t="str">
        <f>_xlfn.DISPIMG("ID_43B765E0092344D5BFEEF6E4CFDEDDE8",1)</f>
        <v>=DISPIMG("ID_43B765E0092344D5BFEEF6E4CFDEDDE8",1)</v>
      </c>
      <c r="E14" s="29" t="s">
        <v>87</v>
      </c>
      <c r="F14" s="30" t="s">
        <v>88</v>
      </c>
      <c r="G14" s="30" t="s">
        <v>27</v>
      </c>
      <c r="H14" s="30" t="s">
        <v>78</v>
      </c>
      <c r="I14" s="30" t="s">
        <v>43</v>
      </c>
      <c r="J14" s="30" t="s">
        <v>89</v>
      </c>
      <c r="K14" s="26" t="s">
        <v>31</v>
      </c>
      <c r="L14" s="31">
        <v>10</v>
      </c>
      <c r="M14" s="30"/>
    </row>
    <row r="15" ht="106.05" spans="1:13">
      <c r="A15" s="26">
        <f t="shared" si="0"/>
        <v>12</v>
      </c>
      <c r="B15" s="26" t="s">
        <v>90</v>
      </c>
      <c r="C15" s="26" t="s">
        <v>91</v>
      </c>
      <c r="D15" s="27" t="str">
        <f>_xlfn.DISPIMG("ID_2698E87E12CA41BD9B3B0E6B7BFFDF9E",1)</f>
        <v>=DISPIMG("ID_2698E87E12CA41BD9B3B0E6B7BFFDF9E",1)</v>
      </c>
      <c r="E15" s="29" t="s">
        <v>92</v>
      </c>
      <c r="F15" s="30" t="s">
        <v>93</v>
      </c>
      <c r="G15" s="30" t="s">
        <v>61</v>
      </c>
      <c r="H15" s="30" t="s">
        <v>94</v>
      </c>
      <c r="I15" s="30" t="s">
        <v>43</v>
      </c>
      <c r="J15" s="30" t="s">
        <v>95</v>
      </c>
      <c r="K15" s="26" t="s">
        <v>31</v>
      </c>
      <c r="L15" s="31">
        <v>100</v>
      </c>
      <c r="M15" s="30" t="s">
        <v>96</v>
      </c>
    </row>
    <row r="16" ht="140.9" spans="1:13">
      <c r="A16" s="26">
        <f t="shared" si="0"/>
        <v>13</v>
      </c>
      <c r="B16" s="26" t="s">
        <v>97</v>
      </c>
      <c r="C16" s="26" t="s">
        <v>91</v>
      </c>
      <c r="D16" s="27" t="str">
        <f>_xlfn.DISPIMG("ID_61563B0F864245A9AA6284E275FED87F",1)</f>
        <v>=DISPIMG("ID_61563B0F864245A9AA6284E275FED87F",1)</v>
      </c>
      <c r="E16" s="29" t="s">
        <v>98</v>
      </c>
      <c r="F16" s="30" t="s">
        <v>99</v>
      </c>
      <c r="G16" s="30" t="s">
        <v>27</v>
      </c>
      <c r="H16" s="30" t="s">
        <v>55</v>
      </c>
      <c r="I16" s="30" t="s">
        <v>43</v>
      </c>
      <c r="J16" s="30" t="s">
        <v>95</v>
      </c>
      <c r="K16" s="26" t="s">
        <v>31</v>
      </c>
      <c r="L16" s="31">
        <v>10</v>
      </c>
      <c r="M16" s="30"/>
    </row>
    <row r="17" ht="127.05" spans="1:13">
      <c r="A17" s="26">
        <f t="shared" si="0"/>
        <v>14</v>
      </c>
      <c r="B17" s="26" t="s">
        <v>100</v>
      </c>
      <c r="C17" s="26" t="s">
        <v>91</v>
      </c>
      <c r="D17" s="27" t="str">
        <f>_xlfn.DISPIMG("ID_0D1C11F615EB456689C447B5B1B77FC3",1)</f>
        <v>=DISPIMG("ID_0D1C11F615EB456689C447B5B1B77FC3",1)</v>
      </c>
      <c r="E17" s="29" t="s">
        <v>101</v>
      </c>
      <c r="F17" s="30" t="s">
        <v>93</v>
      </c>
      <c r="G17" s="30" t="s">
        <v>61</v>
      </c>
      <c r="H17" s="30" t="s">
        <v>94</v>
      </c>
      <c r="I17" s="30" t="s">
        <v>43</v>
      </c>
      <c r="J17" s="30" t="s">
        <v>95</v>
      </c>
      <c r="K17" s="26" t="s">
        <v>31</v>
      </c>
      <c r="L17" s="31">
        <v>10</v>
      </c>
      <c r="M17" s="30"/>
    </row>
    <row r="18" ht="180.65" spans="1:13">
      <c r="A18" s="26">
        <f t="shared" si="0"/>
        <v>15</v>
      </c>
      <c r="B18" s="26" t="s">
        <v>102</v>
      </c>
      <c r="C18" s="26" t="s">
        <v>103</v>
      </c>
      <c r="D18" s="27" t="str">
        <f>_xlfn.DISPIMG("ID_AEC70C83AA3246409A918AF17E0C11E5",1)</f>
        <v>=DISPIMG("ID_AEC70C83AA3246409A918AF17E0C11E5",1)</v>
      </c>
      <c r="E18" s="29" t="s">
        <v>104</v>
      </c>
      <c r="F18" s="30" t="s">
        <v>105</v>
      </c>
      <c r="G18" s="30" t="s">
        <v>27</v>
      </c>
      <c r="H18" s="30" t="s">
        <v>55</v>
      </c>
      <c r="I18" s="30" t="s">
        <v>43</v>
      </c>
      <c r="J18" s="30" t="s">
        <v>106</v>
      </c>
      <c r="K18" s="26" t="s">
        <v>31</v>
      </c>
      <c r="L18" s="31">
        <v>2</v>
      </c>
      <c r="M18" s="30"/>
    </row>
    <row r="19" ht="151.2" spans="1:13">
      <c r="A19" s="26">
        <f t="shared" si="0"/>
        <v>16</v>
      </c>
      <c r="B19" s="26" t="s">
        <v>107</v>
      </c>
      <c r="C19" s="26" t="s">
        <v>108</v>
      </c>
      <c r="D19" s="27" t="str">
        <f>_xlfn.DISPIMG("ID_8FFBB24A13F649ECA7E20D93E1501B19",1)</f>
        <v>=DISPIMG("ID_8FFBB24A13F649ECA7E20D93E1501B19",1)</v>
      </c>
      <c r="E19" s="29" t="s">
        <v>109</v>
      </c>
      <c r="F19" s="30" t="s">
        <v>110</v>
      </c>
      <c r="G19" s="30" t="s">
        <v>27</v>
      </c>
      <c r="H19" s="30" t="s">
        <v>111</v>
      </c>
      <c r="I19" s="30" t="s">
        <v>43</v>
      </c>
      <c r="J19" s="30" t="s">
        <v>106</v>
      </c>
      <c r="K19" s="26" t="s">
        <v>112</v>
      </c>
      <c r="L19" s="31">
        <v>10</v>
      </c>
      <c r="M19" s="30"/>
    </row>
    <row r="20" ht="125.95" spans="1:13">
      <c r="A20" s="26">
        <f t="shared" si="0"/>
        <v>17</v>
      </c>
      <c r="B20" s="26" t="s">
        <v>113</v>
      </c>
      <c r="C20" s="26" t="s">
        <v>114</v>
      </c>
      <c r="D20" s="27" t="str">
        <f>_xlfn.DISPIMG("ID_FA8823B5B3044632B387543405C92EE8",1)</f>
        <v>=DISPIMG("ID_FA8823B5B3044632B387543405C92EE8",1)</v>
      </c>
      <c r="E20" s="29" t="s">
        <v>115</v>
      </c>
      <c r="F20" s="30" t="s">
        <v>116</v>
      </c>
      <c r="G20" s="30" t="s">
        <v>27</v>
      </c>
      <c r="H20" s="30" t="s">
        <v>55</v>
      </c>
      <c r="I20" s="30" t="s">
        <v>43</v>
      </c>
      <c r="J20" s="30" t="s">
        <v>106</v>
      </c>
      <c r="K20" s="26" t="s">
        <v>112</v>
      </c>
      <c r="L20" s="31">
        <v>3</v>
      </c>
      <c r="M20" s="30"/>
    </row>
    <row r="21" ht="64.8" spans="1:13">
      <c r="A21" s="26">
        <f t="shared" si="0"/>
        <v>18</v>
      </c>
      <c r="B21" s="26" t="s">
        <v>117</v>
      </c>
      <c r="C21" s="26" t="s">
        <v>118</v>
      </c>
      <c r="D21" s="27" t="str">
        <f>_xlfn.DISPIMG("ID_E4F7A33F3A2248808BB5EE08CCBD4F7F",1)</f>
        <v>=DISPIMG("ID_E4F7A33F3A2248808BB5EE08CCBD4F7F",1)</v>
      </c>
      <c r="E21" s="29" t="s">
        <v>119</v>
      </c>
      <c r="F21" s="30" t="s">
        <v>120</v>
      </c>
      <c r="G21" s="30" t="s">
        <v>27</v>
      </c>
      <c r="H21" s="30" t="s">
        <v>55</v>
      </c>
      <c r="I21" s="30" t="s">
        <v>43</v>
      </c>
      <c r="J21" s="30" t="s">
        <v>121</v>
      </c>
      <c r="K21" s="26" t="s">
        <v>112</v>
      </c>
      <c r="L21" s="31">
        <v>20</v>
      </c>
      <c r="M21" s="30"/>
    </row>
    <row r="22" ht="32.4" spans="1:13">
      <c r="A22" s="26">
        <f t="shared" si="0"/>
        <v>19</v>
      </c>
      <c r="B22" s="26" t="s">
        <v>122</v>
      </c>
      <c r="C22" s="26" t="s">
        <v>123</v>
      </c>
      <c r="D22" s="27" t="str">
        <f>_xlfn.DISPIMG("ID_2DE0BD47E342488189C3F3C39E9A7EB5",1)</f>
        <v>=DISPIMG("ID_2DE0BD47E342488189C3F3C39E9A7EB5",1)</v>
      </c>
      <c r="E22" s="29" t="s">
        <v>124</v>
      </c>
      <c r="F22" s="30" t="s">
        <v>125</v>
      </c>
      <c r="G22" s="30" t="s">
        <v>27</v>
      </c>
      <c r="H22" s="30" t="s">
        <v>78</v>
      </c>
      <c r="I22" s="30" t="s">
        <v>43</v>
      </c>
      <c r="J22" s="30" t="s">
        <v>126</v>
      </c>
      <c r="K22" s="26" t="s">
        <v>31</v>
      </c>
      <c r="L22" s="31">
        <v>5</v>
      </c>
      <c r="M22" s="30"/>
    </row>
    <row r="23" ht="86.4" spans="1:13">
      <c r="A23" s="26">
        <f t="shared" si="0"/>
        <v>20</v>
      </c>
      <c r="B23" s="26" t="s">
        <v>127</v>
      </c>
      <c r="C23" s="26" t="s">
        <v>128</v>
      </c>
      <c r="D23" s="27" t="str">
        <f>_xlfn.DISPIMG("ID_573ACF0B5505401FBD3A469B480123D4",1)</f>
        <v>=DISPIMG("ID_573ACF0B5505401FBD3A469B480123D4",1)</v>
      </c>
      <c r="E23" s="29" t="s">
        <v>129</v>
      </c>
      <c r="F23" s="30" t="s">
        <v>130</v>
      </c>
      <c r="G23" s="30" t="s">
        <v>27</v>
      </c>
      <c r="H23" s="30" t="s">
        <v>78</v>
      </c>
      <c r="I23" s="30" t="s">
        <v>43</v>
      </c>
      <c r="J23" s="30" t="s">
        <v>131</v>
      </c>
      <c r="K23" s="26" t="s">
        <v>31</v>
      </c>
      <c r="L23" s="31">
        <v>30</v>
      </c>
      <c r="M23" s="30"/>
    </row>
    <row r="24" ht="86.4" spans="1:13">
      <c r="A24" s="26">
        <f t="shared" si="0"/>
        <v>21</v>
      </c>
      <c r="B24" s="26" t="s">
        <v>132</v>
      </c>
      <c r="C24" s="26" t="s">
        <v>133</v>
      </c>
      <c r="D24" s="27" t="str">
        <f>_xlfn.DISPIMG("ID_573ACF0B5505401FBD3A469B480123D4",1)</f>
        <v>=DISPIMG("ID_573ACF0B5505401FBD3A469B480123D4",1)</v>
      </c>
      <c r="E24" s="29" t="s">
        <v>129</v>
      </c>
      <c r="F24" s="30" t="s">
        <v>130</v>
      </c>
      <c r="G24" s="30" t="s">
        <v>27</v>
      </c>
      <c r="H24" s="30" t="s">
        <v>78</v>
      </c>
      <c r="I24" s="30" t="s">
        <v>43</v>
      </c>
      <c r="J24" s="30" t="s">
        <v>131</v>
      </c>
      <c r="K24" s="26" t="s">
        <v>31</v>
      </c>
      <c r="L24" s="31">
        <v>15</v>
      </c>
      <c r="M24" s="30"/>
    </row>
    <row r="25" ht="68.45" spans="1:13">
      <c r="A25" s="26">
        <f t="shared" si="0"/>
        <v>22</v>
      </c>
      <c r="B25" s="26">
        <v>19</v>
      </c>
      <c r="C25" s="26" t="s">
        <v>134</v>
      </c>
      <c r="D25" s="27" t="str">
        <f>_xlfn.DISPIMG("ID_D1B3CBB8D06046868E2AD28DB9065336",1)</f>
        <v>=DISPIMG("ID_D1B3CBB8D06046868E2AD28DB9065336",1)</v>
      </c>
      <c r="E25" s="29" t="s">
        <v>135</v>
      </c>
      <c r="F25" s="30" t="s">
        <v>136</v>
      </c>
      <c r="G25" s="30" t="s">
        <v>27</v>
      </c>
      <c r="H25" s="30" t="s">
        <v>78</v>
      </c>
      <c r="I25" s="30" t="s">
        <v>43</v>
      </c>
      <c r="J25" s="30" t="s">
        <v>137</v>
      </c>
      <c r="K25" s="26" t="s">
        <v>138</v>
      </c>
      <c r="L25" s="31">
        <v>3</v>
      </c>
      <c r="M25" s="30" t="s">
        <v>139</v>
      </c>
    </row>
    <row r="26" ht="280.8" spans="1:13">
      <c r="A26" s="26">
        <f t="shared" si="0"/>
        <v>23</v>
      </c>
      <c r="B26" s="26" t="s">
        <v>140</v>
      </c>
      <c r="C26" s="26" t="s">
        <v>141</v>
      </c>
      <c r="D26" s="27" t="str">
        <f>_xlfn.DISPIMG("ID_5DF49DA4AF97463DA7AE1E6FC0F92BA3",1)</f>
        <v>=DISPIMG("ID_5DF49DA4AF97463DA7AE1E6FC0F92BA3",1)</v>
      </c>
      <c r="E26" s="29" t="s">
        <v>142</v>
      </c>
      <c r="F26" s="30" t="s">
        <v>143</v>
      </c>
      <c r="G26" s="30" t="s">
        <v>27</v>
      </c>
      <c r="H26" s="30" t="s">
        <v>144</v>
      </c>
      <c r="I26" s="30" t="s">
        <v>29</v>
      </c>
      <c r="J26" s="30" t="s">
        <v>30</v>
      </c>
      <c r="K26" s="26" t="s">
        <v>31</v>
      </c>
      <c r="L26" s="31">
        <v>1</v>
      </c>
      <c r="M26" s="30" t="s">
        <v>145</v>
      </c>
    </row>
    <row r="27" spans="1:13">
      <c r="F27" s="24"/>
      <c r="G27" s="24"/>
      <c r="H27" s="24"/>
      <c r="I27" s="24"/>
      <c r="J27" s="24"/>
    </row>
    <row r="28" spans="1:13">
      <c r="F28" s="24"/>
      <c r="G28" s="24"/>
      <c r="H28" s="24"/>
      <c r="I28" s="24"/>
      <c r="J28" s="24"/>
    </row>
    <row r="29" spans="1:13">
      <c r="F29" s="24"/>
      <c r="G29" s="24"/>
      <c r="H29" s="24"/>
      <c r="I29" s="24"/>
      <c r="J29" s="24"/>
    </row>
    <row r="30" spans="1:13">
      <c r="F30" s="24"/>
      <c r="G30" s="24"/>
      <c r="H30" s="24"/>
      <c r="I30" s="24"/>
      <c r="J30" s="24"/>
    </row>
    <row r="31" spans="1:13">
      <c r="F31" s="24"/>
      <c r="G31" s="24"/>
      <c r="H31" s="24"/>
      <c r="I31" s="24"/>
      <c r="J31" s="24"/>
    </row>
    <row r="32" spans="1:13">
      <c r="F32" s="24"/>
      <c r="G32" s="24"/>
      <c r="H32" s="24"/>
      <c r="I32" s="24"/>
      <c r="J32" s="24"/>
    </row>
    <row r="33" spans="6:10">
      <c r="F33" s="24"/>
      <c r="G33" s="24"/>
      <c r="H33" s="24"/>
      <c r="I33" s="24"/>
      <c r="J33" s="24"/>
    </row>
    <row r="34" spans="6:10">
      <c r="F34" s="24"/>
      <c r="G34" s="24"/>
      <c r="H34" s="24"/>
      <c r="I34" s="24"/>
      <c r="J34" s="24"/>
    </row>
    <row r="35" spans="6:10">
      <c r="F35" s="24"/>
      <c r="G35" s="24"/>
      <c r="H35" s="24"/>
      <c r="I35" s="24"/>
      <c r="J35" s="24"/>
    </row>
    <row r="36" spans="6:10">
      <c r="F36" s="24"/>
      <c r="G36" s="24"/>
      <c r="H36" s="24"/>
      <c r="I36" s="24"/>
      <c r="J36" s="24"/>
    </row>
  </sheetData>
  <autoFilter xmlns:etc="http://www.wps.cn/officeDocument/2017/etCustomData" ref="A3:M26" etc:filterBottomFollowUsedRange="0">
    <extLst/>
  </autoFilter>
  <mergeCells count="2">
    <mergeCell ref="A1:M1"/>
    <mergeCell ref="A2:M2"/>
  </mergeCells>
  <pageMargins left="0.700694444444445" right="0.700694444444445" top="0.432638888888889" bottom="0.751388888888889" header="0.297916666666667" footer="0.297916666666667"/>
  <pageSetup paperSize="9" scale="90" fitToHeight="0" orientation="landscape" horizontalDpi="600"/>
  <headerFooter>
    <oddFooter>&amp;C第 &amp;P 页，共 &amp;N 页</oddFooter>
  </headerFooter>
  <colBreaks count="1" manualBreakCount="1">
    <brk id="13" max="1048575" man="1"/>
  </colBreak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12"/>
  <sheetViews>
    <sheetView view="pageBreakPreview" zoomScale="85" zoomScaleNormal="100" workbookViewId="0">
      <pane ySplit="3" topLeftCell="A4" activePane="bottomLeft" state="frozen"/>
      <selection/>
      <selection pane="bottomLeft" activeCell="E5" sqref="E5"/>
    </sheetView>
  </sheetViews>
  <sheetFormatPr defaultColWidth="9" defaultRowHeight="12"/>
  <cols>
    <col min="1" max="2" width="5.12962962962963" style="21" customWidth="1"/>
    <col min="3" max="3" width="10.1296296296296" style="21" customWidth="1"/>
    <col min="4" max="4" width="12.6296296296296" style="22" customWidth="1"/>
    <col min="5" max="5" width="50" style="22" customWidth="1"/>
    <col min="6" max="6" width="8.22222222222222" style="21" customWidth="1"/>
    <col min="7" max="7" width="4.75" style="21" customWidth="1"/>
    <col min="8" max="8" width="6.66666666666667" style="21" customWidth="1"/>
    <col min="9" max="9" width="7.33333333333333" style="21" customWidth="1"/>
    <col min="10" max="10" width="11" style="21" customWidth="1"/>
    <col min="11" max="11" width="4.62962962962963" style="21" customWidth="1"/>
    <col min="12" max="12" width="7.87962962962963" style="23" customWidth="1"/>
    <col min="13" max="13" width="9.22222222222222" style="24" customWidth="1"/>
    <col min="14" max="16384" width="9" style="22"/>
  </cols>
  <sheetData>
    <row r="1" ht="23" customHeight="1" spans="1:13">
      <c r="A1" s="6" t="s">
        <v>146</v>
      </c>
      <c r="B1" s="6"/>
      <c r="C1" s="6"/>
      <c r="D1" s="6"/>
      <c r="E1" s="6"/>
      <c r="F1" s="6"/>
      <c r="G1" s="6"/>
      <c r="H1" s="6"/>
      <c r="I1" s="6"/>
      <c r="J1" s="6"/>
      <c r="K1" s="6"/>
      <c r="L1" s="7"/>
      <c r="M1" s="8"/>
    </row>
    <row r="2" ht="18" customHeight="1" spans="1:13">
      <c r="A2" s="22" t="s">
        <v>1</v>
      </c>
      <c r="K2" s="22"/>
    </row>
    <row r="3" s="19" customFormat="1" ht="36" spans="1:13">
      <c r="A3" s="25" t="s">
        <v>2</v>
      </c>
      <c r="B3" s="25" t="s">
        <v>12</v>
      </c>
      <c r="C3" s="25" t="s">
        <v>13</v>
      </c>
      <c r="D3" s="25" t="s">
        <v>14</v>
      </c>
      <c r="E3" s="25" t="s">
        <v>15</v>
      </c>
      <c r="F3" s="25" t="s">
        <v>16</v>
      </c>
      <c r="G3" s="25" t="s">
        <v>17</v>
      </c>
      <c r="H3" s="25" t="s">
        <v>18</v>
      </c>
      <c r="I3" s="25" t="s">
        <v>19</v>
      </c>
      <c r="J3" s="25" t="s">
        <v>20</v>
      </c>
      <c r="K3" s="25" t="s">
        <v>21</v>
      </c>
      <c r="L3" s="10" t="s">
        <v>22</v>
      </c>
      <c r="M3" s="11" t="s">
        <v>4</v>
      </c>
    </row>
    <row r="4" ht="58" customHeight="1" spans="1:13">
      <c r="A4" s="26">
        <v>1</v>
      </c>
      <c r="B4" s="26" t="s">
        <v>147</v>
      </c>
      <c r="C4" s="26" t="s">
        <v>148</v>
      </c>
      <c r="D4" s="28" t="str">
        <f>_xlfn.DISPIMG("ID_1356149775984355AEFE5D1E002602BA",1)</f>
        <v>=DISPIMG("ID_1356149775984355AEFE5D1E002602BA",1)</v>
      </c>
      <c r="E4" s="29" t="s">
        <v>149</v>
      </c>
      <c r="F4" s="30" t="s">
        <v>150</v>
      </c>
      <c r="G4" s="30" t="s">
        <v>27</v>
      </c>
      <c r="H4" s="30" t="s">
        <v>78</v>
      </c>
      <c r="I4" s="30" t="s">
        <v>43</v>
      </c>
      <c r="J4" s="30" t="s">
        <v>151</v>
      </c>
      <c r="K4" s="26" t="s">
        <v>138</v>
      </c>
      <c r="L4" s="31">
        <v>106</v>
      </c>
      <c r="M4" s="30"/>
    </row>
    <row r="5" ht="62" customHeight="1" spans="1:13">
      <c r="A5" s="26">
        <f t="shared" ref="A5:A12" si="0">+A4+1</f>
        <v>2</v>
      </c>
      <c r="B5" s="26" t="s">
        <v>152</v>
      </c>
      <c r="C5" s="26" t="s">
        <v>153</v>
      </c>
      <c r="D5" s="28" t="str">
        <f>_xlfn.DISPIMG("ID_C5842B03339C463A8FF1A052C241ABD8",1)</f>
        <v>=DISPIMG("ID_C5842B03339C463A8FF1A052C241ABD8",1)</v>
      </c>
      <c r="E5" s="29" t="s">
        <v>154</v>
      </c>
      <c r="F5" s="30" t="s">
        <v>150</v>
      </c>
      <c r="G5" s="30" t="s">
        <v>27</v>
      </c>
      <c r="H5" s="30" t="s">
        <v>78</v>
      </c>
      <c r="I5" s="30" t="s">
        <v>43</v>
      </c>
      <c r="J5" s="30" t="s">
        <v>155</v>
      </c>
      <c r="K5" s="26" t="s">
        <v>138</v>
      </c>
      <c r="L5" s="31">
        <v>22</v>
      </c>
      <c r="M5" s="30"/>
    </row>
    <row r="6" ht="227" customHeight="1" spans="1:13">
      <c r="A6" s="26">
        <f t="shared" si="0"/>
        <v>3</v>
      </c>
      <c r="B6" s="26" t="s">
        <v>156</v>
      </c>
      <c r="C6" s="26" t="s">
        <v>157</v>
      </c>
      <c r="D6" s="27" t="str">
        <f>_xlfn.DISPIMG("ID_21D698246C454C1895A748DC002AF67F",1)</f>
        <v>=DISPIMG("ID_21D698246C454C1895A748DC002AF67F",1)</v>
      </c>
      <c r="E6" s="29" t="s">
        <v>158</v>
      </c>
      <c r="F6" s="30" t="s">
        <v>159</v>
      </c>
      <c r="G6" s="30" t="s">
        <v>27</v>
      </c>
      <c r="H6" s="30" t="s">
        <v>160</v>
      </c>
      <c r="I6" s="30" t="s">
        <v>161</v>
      </c>
      <c r="J6" s="30" t="s">
        <v>162</v>
      </c>
      <c r="K6" s="26" t="s">
        <v>31</v>
      </c>
      <c r="L6" s="31">
        <v>14</v>
      </c>
      <c r="M6" s="30" t="s">
        <v>145</v>
      </c>
    </row>
    <row r="7" ht="226.8" spans="1:13">
      <c r="A7" s="26">
        <f t="shared" si="0"/>
        <v>4</v>
      </c>
      <c r="B7" s="26" t="s">
        <v>163</v>
      </c>
      <c r="C7" s="26" t="s">
        <v>164</v>
      </c>
      <c r="D7" s="27" t="str">
        <f>_xlfn.DISPIMG("ID_0CFE4D482D084EBAA0986CEC0B8433C3",1)</f>
        <v>=DISPIMG("ID_0CFE4D482D084EBAA0986CEC0B8433C3",1)</v>
      </c>
      <c r="E7" s="29" t="s">
        <v>165</v>
      </c>
      <c r="F7" s="30" t="s">
        <v>159</v>
      </c>
      <c r="G7" s="30" t="s">
        <v>27</v>
      </c>
      <c r="H7" s="30" t="s">
        <v>160</v>
      </c>
      <c r="I7" s="30" t="s">
        <v>161</v>
      </c>
      <c r="J7" s="30" t="s">
        <v>162</v>
      </c>
      <c r="K7" s="26" t="s">
        <v>31</v>
      </c>
      <c r="L7" s="31">
        <v>102</v>
      </c>
      <c r="M7" s="30" t="s">
        <v>145</v>
      </c>
    </row>
    <row r="8" ht="54" spans="1:13">
      <c r="A8" s="26">
        <f t="shared" si="0"/>
        <v>5</v>
      </c>
      <c r="B8" s="26" t="s">
        <v>166</v>
      </c>
      <c r="C8" s="26" t="s">
        <v>167</v>
      </c>
      <c r="D8" s="27" t="str">
        <f>_xlfn.DISPIMG("ID_F488D321D81B46A7B028D18B36F6C3C7",1)</f>
        <v>=DISPIMG("ID_F488D321D81B46A7B028D18B36F6C3C7",1)</v>
      </c>
      <c r="E8" s="29" t="s">
        <v>168</v>
      </c>
      <c r="F8" s="30" t="s">
        <v>169</v>
      </c>
      <c r="G8" s="30" t="s">
        <v>27</v>
      </c>
      <c r="H8" s="30" t="s">
        <v>78</v>
      </c>
      <c r="I8" s="30" t="s">
        <v>43</v>
      </c>
      <c r="J8" s="30" t="s">
        <v>170</v>
      </c>
      <c r="K8" s="26" t="s">
        <v>31</v>
      </c>
      <c r="L8" s="31">
        <v>98</v>
      </c>
      <c r="M8" s="30"/>
    </row>
    <row r="9" ht="64.8" spans="1:13">
      <c r="A9" s="26">
        <f t="shared" si="0"/>
        <v>6</v>
      </c>
      <c r="B9" s="26" t="s">
        <v>171</v>
      </c>
      <c r="C9" s="26" t="s">
        <v>167</v>
      </c>
      <c r="D9" s="27" t="str">
        <f>_xlfn.DISPIMG("ID_CBEB0BB3EB574A96B8511E78B1F49F60",1)</f>
        <v>=DISPIMG("ID_CBEB0BB3EB574A96B8511E78B1F49F60",1)</v>
      </c>
      <c r="E9" s="29" t="s">
        <v>172</v>
      </c>
      <c r="F9" s="30" t="s">
        <v>173</v>
      </c>
      <c r="G9" s="30" t="s">
        <v>27</v>
      </c>
      <c r="H9" s="30" t="s">
        <v>78</v>
      </c>
      <c r="I9" s="30" t="s">
        <v>43</v>
      </c>
      <c r="J9" s="30" t="s">
        <v>174</v>
      </c>
      <c r="K9" s="26" t="s">
        <v>31</v>
      </c>
      <c r="L9" s="31">
        <v>207</v>
      </c>
      <c r="M9" s="30" t="str">
        <f>_xlfn.DISPIMG("ID_BC85FD62FF6E4EB8ABB13384CA2E5423",1)</f>
        <v>=DISPIMG("ID_BC85FD62FF6E4EB8ABB13384CA2E5423",1)</v>
      </c>
    </row>
    <row r="10" ht="89.85" spans="1:13">
      <c r="A10" s="26">
        <f t="shared" si="0"/>
        <v>7</v>
      </c>
      <c r="B10" s="26" t="s">
        <v>175</v>
      </c>
      <c r="C10" s="26" t="s">
        <v>176</v>
      </c>
      <c r="D10" s="27" t="str">
        <f>_xlfn.DISPIMG("ID_23D239704A814707A3C9888B52ED5FF1",1)</f>
        <v>=DISPIMG("ID_23D239704A814707A3C9888B52ED5FF1",1)</v>
      </c>
      <c r="E10" s="29" t="s">
        <v>177</v>
      </c>
      <c r="F10" s="30" t="s">
        <v>178</v>
      </c>
      <c r="G10" s="30" t="s">
        <v>27</v>
      </c>
      <c r="H10" s="30" t="s">
        <v>78</v>
      </c>
      <c r="I10" s="30" t="s">
        <v>43</v>
      </c>
      <c r="J10" s="30" t="s">
        <v>179</v>
      </c>
      <c r="K10" s="26" t="s">
        <v>31</v>
      </c>
      <c r="L10" s="31">
        <v>19</v>
      </c>
      <c r="M10" s="30"/>
    </row>
    <row r="11" ht="32.4" spans="1:13">
      <c r="A11" s="26">
        <f t="shared" si="0"/>
        <v>8</v>
      </c>
      <c r="B11" s="26" t="s">
        <v>180</v>
      </c>
      <c r="C11" s="26" t="s">
        <v>181</v>
      </c>
      <c r="D11" s="27" t="str">
        <f>_xlfn.DISPIMG("ID_00525C95CAF34C69A1FFDCA97B413A48",1)</f>
        <v>=DISPIMG("ID_00525C95CAF34C69A1FFDCA97B413A48",1)</v>
      </c>
      <c r="E11" s="29" t="s">
        <v>124</v>
      </c>
      <c r="F11" s="30" t="s">
        <v>182</v>
      </c>
      <c r="G11" s="30" t="s">
        <v>27</v>
      </c>
      <c r="H11" s="30" t="s">
        <v>78</v>
      </c>
      <c r="I11" s="30" t="s">
        <v>43</v>
      </c>
      <c r="J11" s="30" t="s">
        <v>183</v>
      </c>
      <c r="K11" s="26" t="s">
        <v>31</v>
      </c>
      <c r="L11" s="31">
        <v>114</v>
      </c>
      <c r="M11" s="30"/>
    </row>
    <row r="12" ht="118.8" spans="1:13">
      <c r="A12" s="26">
        <f t="shared" si="0"/>
        <v>9</v>
      </c>
      <c r="B12" s="26" t="s">
        <v>184</v>
      </c>
      <c r="C12" s="26" t="s">
        <v>185</v>
      </c>
      <c r="D12" s="27" t="str">
        <f>_xlfn.DISPIMG("ID_101D7C8CA462495B9BAD36786593BE84",1)</f>
        <v>=DISPIMG("ID_101D7C8CA462495B9BAD36786593BE84",1)</v>
      </c>
      <c r="E12" s="29" t="s">
        <v>186</v>
      </c>
      <c r="F12" s="30" t="s">
        <v>187</v>
      </c>
      <c r="G12" s="30" t="s">
        <v>27</v>
      </c>
      <c r="H12" s="30" t="s">
        <v>55</v>
      </c>
      <c r="I12" s="30" t="s">
        <v>188</v>
      </c>
      <c r="J12" s="30" t="s">
        <v>189</v>
      </c>
      <c r="K12" s="26" t="s">
        <v>31</v>
      </c>
      <c r="L12" s="31">
        <v>22</v>
      </c>
      <c r="M12" s="30" t="s">
        <v>190</v>
      </c>
    </row>
  </sheetData>
  <mergeCells count="2">
    <mergeCell ref="A1:M1"/>
    <mergeCell ref="A2:M2"/>
  </mergeCells>
  <pageMargins left="0.700694444444445" right="0.700694444444445" top="0.471527777777778" bottom="0.751388888888889" header="0.297916666666667" footer="0.297916666666667"/>
  <pageSetup paperSize="9" scale="93" fitToHeight="0" orientation="landscape" horizontalDpi="600"/>
  <headerFooter>
    <oddFooter>&amp;C第 &amp;P 页，共 &amp;N 页</oddFooter>
  </headerFooter>
  <colBreaks count="1" manualBreakCount="1">
    <brk id="13" max="104857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54"/>
  <sheetViews>
    <sheetView view="pageBreakPreview" zoomScale="85" zoomScaleNormal="100" workbookViewId="0">
      <pane ySplit="3" topLeftCell="A4" activePane="bottomLeft" state="frozen"/>
      <selection/>
      <selection pane="bottomLeft" activeCell="M26" sqref="M26"/>
    </sheetView>
  </sheetViews>
  <sheetFormatPr defaultColWidth="9" defaultRowHeight="12"/>
  <cols>
    <col min="1" max="2" width="5.12962962962963" style="21" customWidth="1"/>
    <col min="3" max="3" width="10.1296296296296" style="21" customWidth="1"/>
    <col min="4" max="4" width="12.6296296296296" style="22" customWidth="1"/>
    <col min="5" max="5" width="50.6666666666667" style="22" customWidth="1"/>
    <col min="6" max="6" width="6.77777777777778" style="21" customWidth="1"/>
    <col min="7" max="7" width="5.66666666666667" style="21" customWidth="1"/>
    <col min="8" max="8" width="6.11111111111111" style="21" customWidth="1"/>
    <col min="9" max="10" width="6.77777777777778" style="21" customWidth="1"/>
    <col min="11" max="11" width="4.62962962962963" style="21" customWidth="1"/>
    <col min="12" max="12" width="7.87962962962963" style="23" customWidth="1"/>
    <col min="13" max="13" width="8.88888888888889" style="24" customWidth="1"/>
    <col min="14" max="16384" width="9" style="22"/>
  </cols>
  <sheetData>
    <row r="1" ht="21" customHeight="1" spans="1:13">
      <c r="A1" s="6" t="s">
        <v>191</v>
      </c>
      <c r="B1" s="6"/>
      <c r="C1" s="6"/>
      <c r="D1" s="6"/>
      <c r="E1" s="6"/>
      <c r="F1" s="6"/>
      <c r="G1" s="6"/>
      <c r="H1" s="6"/>
      <c r="I1" s="6"/>
      <c r="J1" s="6"/>
      <c r="K1" s="6"/>
      <c r="L1" s="7"/>
      <c r="M1" s="8"/>
    </row>
    <row r="2" ht="17" customHeight="1" spans="1:13">
      <c r="A2" s="22" t="s">
        <v>1</v>
      </c>
      <c r="K2" s="22"/>
    </row>
    <row r="3" s="19" customFormat="1" ht="25" customHeight="1" spans="1:13">
      <c r="A3" s="25" t="s">
        <v>2</v>
      </c>
      <c r="B3" s="25" t="s">
        <v>12</v>
      </c>
      <c r="C3" s="25" t="s">
        <v>13</v>
      </c>
      <c r="D3" s="25" t="s">
        <v>14</v>
      </c>
      <c r="E3" s="25" t="s">
        <v>15</v>
      </c>
      <c r="F3" s="25" t="s">
        <v>16</v>
      </c>
      <c r="G3" s="25" t="s">
        <v>17</v>
      </c>
      <c r="H3" s="25" t="s">
        <v>18</v>
      </c>
      <c r="I3" s="25" t="s">
        <v>19</v>
      </c>
      <c r="J3" s="25" t="s">
        <v>20</v>
      </c>
      <c r="K3" s="25" t="s">
        <v>21</v>
      </c>
      <c r="L3" s="39" t="s">
        <v>22</v>
      </c>
      <c r="M3" s="11" t="s">
        <v>4</v>
      </c>
    </row>
    <row r="4" ht="63.3" spans="1:13">
      <c r="A4" s="26">
        <v>1</v>
      </c>
      <c r="B4" s="26" t="s">
        <v>192</v>
      </c>
      <c r="C4" s="26" t="s">
        <v>193</v>
      </c>
      <c r="D4" s="28" t="str">
        <f>_xlfn.DISPIMG("ID_A15EDF97A0B0465C8D9C50E968BE6F3E",1)</f>
        <v>=DISPIMG("ID_A15EDF97A0B0465C8D9C50E968BE6F3E",1)</v>
      </c>
      <c r="E4" s="29" t="s">
        <v>194</v>
      </c>
      <c r="F4" s="30" t="s">
        <v>195</v>
      </c>
      <c r="G4" s="30" t="s">
        <v>196</v>
      </c>
      <c r="H4" s="30" t="s">
        <v>78</v>
      </c>
      <c r="I4" s="30" t="s">
        <v>43</v>
      </c>
      <c r="J4" s="30" t="s">
        <v>197</v>
      </c>
      <c r="K4" s="26" t="s">
        <v>112</v>
      </c>
      <c r="L4" s="31">
        <v>1</v>
      </c>
      <c r="M4" s="30"/>
    </row>
    <row r="5" ht="67.55" spans="1:13">
      <c r="A5" s="26">
        <f t="shared" ref="A5:A12" si="0">+A4+1</f>
        <v>2</v>
      </c>
      <c r="B5" s="26" t="s">
        <v>198</v>
      </c>
      <c r="C5" s="26" t="s">
        <v>193</v>
      </c>
      <c r="D5" s="28" t="str">
        <f>_xlfn.DISPIMG("ID_07A03B52D995488F85BD1F1E9BCFD703",1)</f>
        <v>=DISPIMG("ID_07A03B52D995488F85BD1F1E9BCFD703",1)</v>
      </c>
      <c r="E5" s="29" t="s">
        <v>199</v>
      </c>
      <c r="F5" s="30" t="s">
        <v>200</v>
      </c>
      <c r="G5" s="30" t="s">
        <v>196</v>
      </c>
      <c r="H5" s="30" t="s">
        <v>78</v>
      </c>
      <c r="I5" s="30" t="s">
        <v>43</v>
      </c>
      <c r="J5" s="30" t="s">
        <v>197</v>
      </c>
      <c r="K5" s="26" t="s">
        <v>112</v>
      </c>
      <c r="L5" s="31">
        <v>2</v>
      </c>
      <c r="M5" s="30"/>
    </row>
    <row r="6" ht="86.65" spans="1:13">
      <c r="A6" s="26">
        <f t="shared" si="0"/>
        <v>3</v>
      </c>
      <c r="B6" s="26" t="s">
        <v>201</v>
      </c>
      <c r="C6" s="26" t="s">
        <v>193</v>
      </c>
      <c r="D6" s="27" t="str">
        <f>_xlfn.DISPIMG("ID_DDC6CA66035F491C9943324F48BBDF49",1)</f>
        <v>=DISPIMG("ID_DDC6CA66035F491C9943324F48BBDF49",1)</v>
      </c>
      <c r="E6" s="29" t="s">
        <v>199</v>
      </c>
      <c r="F6" s="30" t="s">
        <v>202</v>
      </c>
      <c r="G6" s="30" t="s">
        <v>196</v>
      </c>
      <c r="H6" s="30" t="s">
        <v>78</v>
      </c>
      <c r="I6" s="30" t="s">
        <v>43</v>
      </c>
      <c r="J6" s="30" t="s">
        <v>197</v>
      </c>
      <c r="K6" s="26" t="s">
        <v>112</v>
      </c>
      <c r="L6" s="31">
        <v>3</v>
      </c>
      <c r="M6" s="30"/>
    </row>
    <row r="7" ht="64.8" spans="1:13">
      <c r="A7" s="26">
        <f t="shared" si="0"/>
        <v>4</v>
      </c>
      <c r="B7" s="26" t="s">
        <v>203</v>
      </c>
      <c r="C7" s="26" t="s">
        <v>204</v>
      </c>
      <c r="D7" s="27" t="str">
        <f>_xlfn.DISPIMG("ID_5508394185654FE9B75294202AEAFCB9",1)</f>
        <v>=DISPIMG("ID_5508394185654FE9B75294202AEAFCB9",1)</v>
      </c>
      <c r="E7" s="29" t="s">
        <v>205</v>
      </c>
      <c r="F7" s="30" t="s">
        <v>206</v>
      </c>
      <c r="G7" s="30" t="s">
        <v>196</v>
      </c>
      <c r="H7" s="30" t="s">
        <v>78</v>
      </c>
      <c r="I7" s="30" t="s">
        <v>43</v>
      </c>
      <c r="J7" s="30" t="s">
        <v>207</v>
      </c>
      <c r="K7" s="26" t="s">
        <v>31</v>
      </c>
      <c r="L7" s="31">
        <v>3</v>
      </c>
      <c r="M7" s="30"/>
    </row>
    <row r="8" ht="64.8" spans="1:13">
      <c r="A8" s="26">
        <f t="shared" si="0"/>
        <v>5</v>
      </c>
      <c r="B8" s="26" t="s">
        <v>166</v>
      </c>
      <c r="C8" s="26" t="s">
        <v>167</v>
      </c>
      <c r="D8" s="27" t="str">
        <f>_xlfn.DISPIMG("ID_858F9A1A6A694E84B56874E575390154",1)</f>
        <v>=DISPIMG("ID_858F9A1A6A694E84B56874E575390154",1)</v>
      </c>
      <c r="E8" s="29" t="s">
        <v>208</v>
      </c>
      <c r="F8" s="30" t="s">
        <v>209</v>
      </c>
      <c r="G8" s="30" t="s">
        <v>196</v>
      </c>
      <c r="H8" s="30" t="s">
        <v>78</v>
      </c>
      <c r="I8" s="30" t="s">
        <v>43</v>
      </c>
      <c r="J8" s="30" t="s">
        <v>210</v>
      </c>
      <c r="K8" s="26" t="s">
        <v>31</v>
      </c>
      <c r="L8" s="31">
        <v>18</v>
      </c>
      <c r="M8" s="30"/>
    </row>
    <row r="9" ht="90.5" spans="1:13">
      <c r="A9" s="26">
        <f t="shared" si="0"/>
        <v>6</v>
      </c>
      <c r="B9" s="26" t="s">
        <v>175</v>
      </c>
      <c r="C9" s="26" t="s">
        <v>211</v>
      </c>
      <c r="D9" s="27" t="str">
        <f>_xlfn.DISPIMG("ID_60FC7410B50D41D4AAC62CCE30046A08",1)</f>
        <v>=DISPIMG("ID_60FC7410B50D41D4AAC62CCE30046A08",1)</v>
      </c>
      <c r="E9" s="29" t="s">
        <v>177</v>
      </c>
      <c r="F9" s="30" t="s">
        <v>178</v>
      </c>
      <c r="G9" s="30" t="s">
        <v>27</v>
      </c>
      <c r="H9" s="30" t="s">
        <v>78</v>
      </c>
      <c r="I9" s="30" t="s">
        <v>43</v>
      </c>
      <c r="J9" s="30" t="s">
        <v>212</v>
      </c>
      <c r="K9" s="26" t="s">
        <v>31</v>
      </c>
      <c r="L9" s="31">
        <v>2</v>
      </c>
      <c r="M9" s="30"/>
    </row>
    <row r="10" ht="32.4" spans="1:13">
      <c r="A10" s="26">
        <f t="shared" si="0"/>
        <v>7</v>
      </c>
      <c r="B10" s="26" t="s">
        <v>180</v>
      </c>
      <c r="C10" s="26" t="s">
        <v>181</v>
      </c>
      <c r="D10" s="27" t="str">
        <f>_xlfn.DISPIMG("ID_D896BCCBFB1C4C4B82F60BA19A92A40A",1)</f>
        <v>=DISPIMG("ID_D896BCCBFB1C4C4B82F60BA19A92A40A",1)</v>
      </c>
      <c r="E10" s="29" t="s">
        <v>124</v>
      </c>
      <c r="F10" s="30" t="s">
        <v>182</v>
      </c>
      <c r="G10" s="30" t="s">
        <v>27</v>
      </c>
      <c r="H10" s="30" t="s">
        <v>78</v>
      </c>
      <c r="I10" s="30" t="s">
        <v>43</v>
      </c>
      <c r="J10" s="30" t="s">
        <v>213</v>
      </c>
      <c r="K10" s="26" t="s">
        <v>31</v>
      </c>
      <c r="L10" s="31">
        <v>6</v>
      </c>
      <c r="M10" s="30"/>
    </row>
    <row r="11" ht="129.6" spans="1:13">
      <c r="A11" s="26">
        <f t="shared" si="0"/>
        <v>8</v>
      </c>
      <c r="B11" s="26" t="s">
        <v>214</v>
      </c>
      <c r="C11" s="26" t="s">
        <v>215</v>
      </c>
      <c r="D11" s="27" t="str">
        <f>_xlfn.DISPIMG("ID_D76A948BD92F4FABB73D764357E4D14E",1)</f>
        <v>=DISPIMG("ID_D76A948BD92F4FABB73D764357E4D14E",1)</v>
      </c>
      <c r="E11" s="29" t="s">
        <v>216</v>
      </c>
      <c r="F11" s="30" t="s">
        <v>217</v>
      </c>
      <c r="G11" s="30" t="s">
        <v>218</v>
      </c>
      <c r="H11" s="30" t="s">
        <v>111</v>
      </c>
      <c r="I11" s="30" t="s">
        <v>43</v>
      </c>
      <c r="J11" s="30" t="s">
        <v>219</v>
      </c>
      <c r="K11" s="26" t="s">
        <v>220</v>
      </c>
      <c r="L11" s="31">
        <v>10</v>
      </c>
      <c r="M11" s="30"/>
    </row>
    <row r="12" ht="108" spans="1:13">
      <c r="A12" s="26">
        <f t="shared" si="0"/>
        <v>9</v>
      </c>
      <c r="B12" s="26" t="s">
        <v>221</v>
      </c>
      <c r="C12" s="26" t="s">
        <v>222</v>
      </c>
      <c r="D12" s="27" t="str">
        <f>_xlfn.DISPIMG("ID_A7C32E9944674162B93598D6C422A745",1)</f>
        <v>=DISPIMG("ID_A7C32E9944674162B93598D6C422A745",1)</v>
      </c>
      <c r="E12" s="29" t="s">
        <v>129</v>
      </c>
      <c r="F12" s="30" t="s">
        <v>130</v>
      </c>
      <c r="G12" s="30" t="s">
        <v>196</v>
      </c>
      <c r="H12" s="30" t="s">
        <v>78</v>
      </c>
      <c r="I12" s="30" t="s">
        <v>43</v>
      </c>
      <c r="J12" s="30" t="s">
        <v>223</v>
      </c>
      <c r="K12" s="26" t="s">
        <v>220</v>
      </c>
      <c r="L12" s="31">
        <v>11</v>
      </c>
      <c r="M12" s="30"/>
    </row>
    <row r="13" ht="140.4" spans="1:13">
      <c r="A13" s="26">
        <f t="shared" ref="A13:A27" si="1">+A12+1</f>
        <v>10</v>
      </c>
      <c r="B13" s="26" t="s">
        <v>224</v>
      </c>
      <c r="C13" s="26" t="s">
        <v>225</v>
      </c>
      <c r="D13" s="27" t="str">
        <f>_xlfn.DISPIMG("ID_A6742852858347F1A6B671F2DB56FC5F",1)</f>
        <v>=DISPIMG("ID_A6742852858347F1A6B671F2DB56FC5F",1)</v>
      </c>
      <c r="E13" s="29" t="s">
        <v>226</v>
      </c>
      <c r="F13" s="30" t="s">
        <v>227</v>
      </c>
      <c r="G13" s="30" t="s">
        <v>196</v>
      </c>
      <c r="H13" s="30" t="s">
        <v>111</v>
      </c>
      <c r="I13" s="30" t="s">
        <v>43</v>
      </c>
      <c r="J13" s="30" t="s">
        <v>228</v>
      </c>
      <c r="K13" s="26" t="s">
        <v>220</v>
      </c>
      <c r="L13" s="31">
        <v>5</v>
      </c>
      <c r="M13" s="30"/>
    </row>
    <row r="14" ht="75.6" spans="1:13">
      <c r="A14" s="26">
        <f t="shared" si="1"/>
        <v>11</v>
      </c>
      <c r="B14" s="26" t="s">
        <v>229</v>
      </c>
      <c r="C14" s="26" t="s">
        <v>230</v>
      </c>
      <c r="D14" s="27" t="str">
        <f>_xlfn.DISPIMG("ID_6C596BE9027C4CC69F3140E56892F7EB",1)</f>
        <v>=DISPIMG("ID_6C596BE9027C4CC69F3140E56892F7EB",1)</v>
      </c>
      <c r="E14" s="29" t="s">
        <v>231</v>
      </c>
      <c r="F14" s="30" t="s">
        <v>232</v>
      </c>
      <c r="G14" s="30" t="s">
        <v>196</v>
      </c>
      <c r="H14" s="30" t="s">
        <v>111</v>
      </c>
      <c r="I14" s="30" t="s">
        <v>43</v>
      </c>
      <c r="J14" s="30" t="s">
        <v>233</v>
      </c>
      <c r="K14" s="26" t="s">
        <v>220</v>
      </c>
      <c r="L14" s="31">
        <v>1</v>
      </c>
      <c r="M14" s="30"/>
    </row>
    <row r="15" ht="86.4" spans="1:13">
      <c r="A15" s="26">
        <f t="shared" si="1"/>
        <v>12</v>
      </c>
      <c r="B15" s="26" t="s">
        <v>234</v>
      </c>
      <c r="C15" s="26" t="s">
        <v>235</v>
      </c>
      <c r="D15" s="27" t="str">
        <f>_xlfn.DISPIMG("ID_3D218A7B1CD14A37AF71642463553A54",1)</f>
        <v>=DISPIMG("ID_3D218A7B1CD14A37AF71642463553A54",1)</v>
      </c>
      <c r="E15" s="29" t="s">
        <v>236</v>
      </c>
      <c r="F15" s="30" t="s">
        <v>237</v>
      </c>
      <c r="G15" s="30" t="s">
        <v>196</v>
      </c>
      <c r="H15" s="30" t="s">
        <v>111</v>
      </c>
      <c r="I15" s="30" t="s">
        <v>43</v>
      </c>
      <c r="J15" s="30" t="s">
        <v>238</v>
      </c>
      <c r="K15" s="26" t="s">
        <v>220</v>
      </c>
      <c r="L15" s="31">
        <v>1</v>
      </c>
      <c r="M15" s="30"/>
    </row>
    <row r="16" ht="82.25" spans="1:13">
      <c r="A16" s="26">
        <f t="shared" si="1"/>
        <v>13</v>
      </c>
      <c r="B16" s="26" t="s">
        <v>239</v>
      </c>
      <c r="C16" s="26" t="s">
        <v>240</v>
      </c>
      <c r="D16" s="27" t="str">
        <f>_xlfn.DISPIMG("ID_0CEDFE54A3B448509D76321C59BB1E68",1)</f>
        <v>=DISPIMG("ID_0CEDFE54A3B448509D76321C59BB1E68",1)</v>
      </c>
      <c r="E16" s="29" t="s">
        <v>241</v>
      </c>
      <c r="F16" s="30" t="s">
        <v>242</v>
      </c>
      <c r="G16" s="30" t="s">
        <v>196</v>
      </c>
      <c r="H16" s="30" t="s">
        <v>111</v>
      </c>
      <c r="I16" s="30" t="s">
        <v>43</v>
      </c>
      <c r="J16" s="30" t="s">
        <v>238</v>
      </c>
      <c r="K16" s="26" t="s">
        <v>220</v>
      </c>
      <c r="L16" s="31">
        <v>1</v>
      </c>
      <c r="M16" s="30"/>
    </row>
    <row r="17" ht="86.4" spans="1:13">
      <c r="A17" s="26">
        <f t="shared" si="1"/>
        <v>14</v>
      </c>
      <c r="B17" s="26" t="s">
        <v>243</v>
      </c>
      <c r="C17" s="26" t="s">
        <v>244</v>
      </c>
      <c r="D17" s="27" t="str">
        <f>_xlfn.DISPIMG("ID_83AFDED4948F4455B01DEC0CD8E9361D",1)</f>
        <v>=DISPIMG("ID_83AFDED4948F4455B01DEC0CD8E9361D",1)</v>
      </c>
      <c r="E17" s="29" t="s">
        <v>245</v>
      </c>
      <c r="F17" s="30" t="s">
        <v>246</v>
      </c>
      <c r="G17" s="30" t="s">
        <v>196</v>
      </c>
      <c r="H17" s="30" t="s">
        <v>111</v>
      </c>
      <c r="I17" s="30" t="s">
        <v>43</v>
      </c>
      <c r="J17" s="30" t="s">
        <v>247</v>
      </c>
      <c r="K17" s="26" t="s">
        <v>220</v>
      </c>
      <c r="L17" s="31">
        <v>1</v>
      </c>
      <c r="M17" s="30"/>
    </row>
    <row r="18" ht="107" customHeight="1" spans="1:13">
      <c r="A18" s="26">
        <f t="shared" si="1"/>
        <v>15</v>
      </c>
      <c r="B18" s="26" t="s">
        <v>248</v>
      </c>
      <c r="C18" s="26" t="s">
        <v>249</v>
      </c>
      <c r="D18" s="27" t="str">
        <f>_xlfn.DISPIMG("ID_F378C26974DA4C3DB06B5D9E925F98D1",1)</f>
        <v>=DISPIMG("ID_F378C26974DA4C3DB06B5D9E925F98D1",1)</v>
      </c>
      <c r="E18" s="29" t="s">
        <v>250</v>
      </c>
      <c r="F18" s="30" t="s">
        <v>251</v>
      </c>
      <c r="G18" s="30" t="s">
        <v>196</v>
      </c>
      <c r="H18" s="30" t="s">
        <v>111</v>
      </c>
      <c r="I18" s="30" t="s">
        <v>43</v>
      </c>
      <c r="J18" s="30" t="s">
        <v>238</v>
      </c>
      <c r="K18" s="26" t="s">
        <v>220</v>
      </c>
      <c r="L18" s="31">
        <v>2</v>
      </c>
      <c r="M18" s="30"/>
    </row>
    <row r="19" ht="64.8" spans="1:13">
      <c r="A19" s="26">
        <f t="shared" si="1"/>
        <v>16</v>
      </c>
      <c r="B19" s="26" t="s">
        <v>252</v>
      </c>
      <c r="C19" s="26" t="s">
        <v>253</v>
      </c>
      <c r="D19" s="27" t="str">
        <f>_xlfn.DISPIMG("ID_B811BBA649F2490B819AD0B2B164E185",1)</f>
        <v>=DISPIMG("ID_B811BBA649F2490B819AD0B2B164E185",1)</v>
      </c>
      <c r="E19" s="29" t="s">
        <v>254</v>
      </c>
      <c r="F19" s="30" t="s">
        <v>255</v>
      </c>
      <c r="G19" s="30" t="s">
        <v>256</v>
      </c>
      <c r="H19" s="30" t="s">
        <v>111</v>
      </c>
      <c r="I19" s="30" t="s">
        <v>43</v>
      </c>
      <c r="J19" s="30" t="s">
        <v>257</v>
      </c>
      <c r="K19" s="26" t="s">
        <v>220</v>
      </c>
      <c r="L19" s="31">
        <v>18</v>
      </c>
      <c r="M19" s="30"/>
    </row>
    <row r="20" ht="54" spans="1:13">
      <c r="A20" s="26">
        <f t="shared" si="1"/>
        <v>17</v>
      </c>
      <c r="B20" s="26" t="s">
        <v>258</v>
      </c>
      <c r="C20" s="26" t="s">
        <v>259</v>
      </c>
      <c r="D20" s="27" t="str">
        <f>_xlfn.DISPIMG("ID_D926406CA5C64A04B2A5DBAEF9B71A6C",1)</f>
        <v>=DISPIMG("ID_D926406CA5C64A04B2A5DBAEF9B71A6C",1)</v>
      </c>
      <c r="E20" s="29" t="s">
        <v>260</v>
      </c>
      <c r="F20" s="30" t="s">
        <v>261</v>
      </c>
      <c r="G20" s="30" t="s">
        <v>196</v>
      </c>
      <c r="H20" s="30" t="s">
        <v>111</v>
      </c>
      <c r="I20" s="30" t="s">
        <v>43</v>
      </c>
      <c r="J20" s="30" t="s">
        <v>262</v>
      </c>
      <c r="K20" s="26" t="s">
        <v>220</v>
      </c>
      <c r="L20" s="31">
        <v>1</v>
      </c>
      <c r="M20" s="30"/>
    </row>
    <row r="21" ht="64.8" spans="1:13">
      <c r="A21" s="26">
        <f t="shared" si="1"/>
        <v>18</v>
      </c>
      <c r="B21" s="26" t="s">
        <v>263</v>
      </c>
      <c r="C21" s="26" t="s">
        <v>264</v>
      </c>
      <c r="D21" s="27" t="str">
        <f>_xlfn.DISPIMG("ID_3661BD094B834FA19FE8EC2C61465015",1)</f>
        <v>=DISPIMG("ID_3661BD094B834FA19FE8EC2C61465015",1)</v>
      </c>
      <c r="E21" s="29" t="s">
        <v>265</v>
      </c>
      <c r="F21" s="30" t="s">
        <v>266</v>
      </c>
      <c r="G21" s="30" t="s">
        <v>27</v>
      </c>
      <c r="H21" s="30" t="s">
        <v>78</v>
      </c>
      <c r="I21" s="30" t="s">
        <v>43</v>
      </c>
      <c r="J21" s="30" t="s">
        <v>262</v>
      </c>
      <c r="K21" s="26" t="s">
        <v>220</v>
      </c>
      <c r="L21" s="31">
        <v>4</v>
      </c>
      <c r="M21" s="30"/>
    </row>
    <row r="22" ht="75.6" spans="1:13">
      <c r="A22" s="26">
        <f t="shared" si="1"/>
        <v>19</v>
      </c>
      <c r="B22" s="26" t="s">
        <v>267</v>
      </c>
      <c r="C22" s="26" t="s">
        <v>268</v>
      </c>
      <c r="D22" s="27" t="str">
        <f>_xlfn.DISPIMG("ID_E101C52CA85C454FB50829A2CE22E99B",1)</f>
        <v>=DISPIMG("ID_E101C52CA85C454FB50829A2CE22E99B",1)</v>
      </c>
      <c r="E22" s="29" t="s">
        <v>269</v>
      </c>
      <c r="F22" s="30" t="s">
        <v>270</v>
      </c>
      <c r="G22" s="30" t="s">
        <v>27</v>
      </c>
      <c r="H22" s="30" t="s">
        <v>78</v>
      </c>
      <c r="I22" s="30" t="s">
        <v>43</v>
      </c>
      <c r="J22" s="30" t="s">
        <v>262</v>
      </c>
      <c r="K22" s="26" t="s">
        <v>220</v>
      </c>
      <c r="L22" s="31">
        <v>1</v>
      </c>
      <c r="M22" s="30"/>
    </row>
    <row r="23" ht="54" spans="1:13">
      <c r="A23" s="26">
        <f t="shared" si="1"/>
        <v>20</v>
      </c>
      <c r="B23" s="26" t="s">
        <v>271</v>
      </c>
      <c r="C23" s="26" t="s">
        <v>272</v>
      </c>
      <c r="D23" s="27" t="str">
        <f>_xlfn.DISPIMG("ID_9C4CF7AE0718444FA4875A8F7C5EA70E",1)</f>
        <v>=DISPIMG("ID_9C4CF7AE0718444FA4875A8F7C5EA70E",1)</v>
      </c>
      <c r="E23" s="29" t="s">
        <v>273</v>
      </c>
      <c r="F23" s="30" t="s">
        <v>274</v>
      </c>
      <c r="G23" s="30" t="s">
        <v>27</v>
      </c>
      <c r="H23" s="30" t="s">
        <v>78</v>
      </c>
      <c r="I23" s="30" t="s">
        <v>43</v>
      </c>
      <c r="J23" s="30" t="s">
        <v>262</v>
      </c>
      <c r="K23" s="26" t="s">
        <v>220</v>
      </c>
      <c r="L23" s="31">
        <v>2</v>
      </c>
      <c r="M23" s="30"/>
    </row>
    <row r="24" ht="43.2" spans="1:13">
      <c r="A24" s="26">
        <f t="shared" si="1"/>
        <v>21</v>
      </c>
      <c r="B24" s="26" t="s">
        <v>275</v>
      </c>
      <c r="C24" s="26" t="s">
        <v>276</v>
      </c>
      <c r="D24" s="27" t="str">
        <f>_xlfn.DISPIMG("ID_CDDB4DE3F85D478D94C1B0697DBD6CDF",1)</f>
        <v>=DISPIMG("ID_CDDB4DE3F85D478D94C1B0697DBD6CDF",1)</v>
      </c>
      <c r="E24" s="29" t="s">
        <v>277</v>
      </c>
      <c r="F24" s="30" t="s">
        <v>278</v>
      </c>
      <c r="G24" s="30" t="s">
        <v>27</v>
      </c>
      <c r="H24" s="30" t="s">
        <v>78</v>
      </c>
      <c r="I24" s="30" t="s">
        <v>43</v>
      </c>
      <c r="J24" s="30" t="s">
        <v>262</v>
      </c>
      <c r="K24" s="26" t="s">
        <v>220</v>
      </c>
      <c r="L24" s="31">
        <v>2</v>
      </c>
      <c r="M24" s="30"/>
    </row>
    <row r="25" ht="108" spans="1:13">
      <c r="A25" s="26">
        <f t="shared" si="1"/>
        <v>22</v>
      </c>
      <c r="B25" s="26" t="s">
        <v>279</v>
      </c>
      <c r="C25" s="26" t="s">
        <v>280</v>
      </c>
      <c r="D25" s="27" t="str">
        <f>_xlfn.DISPIMG("ID_C66D4514429D498598434A25C6D2D9A3",1)</f>
        <v>=DISPIMG("ID_C66D4514429D498598434A25C6D2D9A3",1)</v>
      </c>
      <c r="E25" s="29" t="s">
        <v>281</v>
      </c>
      <c r="F25" s="30" t="s">
        <v>282</v>
      </c>
      <c r="G25" s="30" t="s">
        <v>27</v>
      </c>
      <c r="H25" s="30" t="s">
        <v>78</v>
      </c>
      <c r="I25" s="30" t="s">
        <v>29</v>
      </c>
      <c r="J25" s="30" t="s">
        <v>30</v>
      </c>
      <c r="K25" s="26" t="s">
        <v>31</v>
      </c>
      <c r="L25" s="31">
        <v>1</v>
      </c>
      <c r="M25" s="30" t="s">
        <v>32</v>
      </c>
    </row>
    <row r="26" ht="93.55" spans="1:13">
      <c r="A26" s="26">
        <f t="shared" si="1"/>
        <v>23</v>
      </c>
      <c r="B26" s="26" t="s">
        <v>283</v>
      </c>
      <c r="C26" s="26" t="s">
        <v>284</v>
      </c>
      <c r="D26" s="27" t="str">
        <f>_xlfn.DISPIMG("ID_E2384B7C7E064F709494171E8B9EABC4",1)</f>
        <v>=DISPIMG("ID_E2384B7C7E064F709494171E8B9EABC4",1)</v>
      </c>
      <c r="E26" s="29" t="s">
        <v>285</v>
      </c>
      <c r="F26" s="30" t="s">
        <v>286</v>
      </c>
      <c r="G26" s="30" t="s">
        <v>27</v>
      </c>
      <c r="H26" s="30" t="s">
        <v>111</v>
      </c>
      <c r="I26" s="30" t="s">
        <v>43</v>
      </c>
      <c r="J26" s="30" t="s">
        <v>30</v>
      </c>
      <c r="K26" s="26" t="s">
        <v>220</v>
      </c>
      <c r="L26" s="31">
        <v>1</v>
      </c>
      <c r="M26" s="30"/>
    </row>
    <row r="27" ht="60" spans="1:13">
      <c r="A27" s="26">
        <f t="shared" si="1"/>
        <v>24</v>
      </c>
      <c r="B27" s="26" t="s">
        <v>287</v>
      </c>
      <c r="C27" s="26" t="s">
        <v>288</v>
      </c>
      <c r="D27" s="27" t="str">
        <f>_xlfn.DISPIMG("ID_9B77DA8A67A04A46B55DD0D0842AF3F9",1)</f>
        <v>=DISPIMG("ID_9B77DA8A67A04A46B55DD0D0842AF3F9",1)</v>
      </c>
      <c r="E27" s="29" t="s">
        <v>289</v>
      </c>
      <c r="F27" s="30" t="s">
        <v>290</v>
      </c>
      <c r="G27" s="30" t="s">
        <v>27</v>
      </c>
      <c r="H27" s="30" t="s">
        <v>78</v>
      </c>
      <c r="I27" s="30" t="s">
        <v>43</v>
      </c>
      <c r="J27" s="30" t="s">
        <v>262</v>
      </c>
      <c r="K27" s="26" t="s">
        <v>220</v>
      </c>
      <c r="L27" s="31">
        <v>1</v>
      </c>
      <c r="M27" s="30"/>
    </row>
    <row r="28" spans="1:13">
      <c r="E28" s="38"/>
    </row>
    <row r="29" spans="1:13">
      <c r="E29" s="38"/>
    </row>
    <row r="30" spans="1:13">
      <c r="E30" s="38"/>
    </row>
    <row r="31" spans="1:13">
      <c r="E31" s="38"/>
    </row>
    <row r="32" spans="1:13">
      <c r="E32" s="38"/>
    </row>
    <row r="33" spans="5:5">
      <c r="E33" s="38"/>
    </row>
    <row r="34" spans="5:5">
      <c r="E34" s="38"/>
    </row>
    <row r="35" spans="5:5">
      <c r="E35" s="38"/>
    </row>
    <row r="36" spans="5:5">
      <c r="E36" s="38"/>
    </row>
    <row r="37" spans="5:5">
      <c r="E37" s="38"/>
    </row>
    <row r="38" spans="5:5">
      <c r="E38" s="38"/>
    </row>
    <row r="39" spans="5:5">
      <c r="E39" s="38"/>
    </row>
    <row r="40" spans="5:5">
      <c r="E40" s="38"/>
    </row>
    <row r="41" spans="5:5">
      <c r="E41" s="38"/>
    </row>
    <row r="42" spans="5:5">
      <c r="E42" s="38"/>
    </row>
    <row r="43" spans="5:5">
      <c r="E43" s="38"/>
    </row>
    <row r="44" spans="5:5">
      <c r="E44" s="38"/>
    </row>
    <row r="45" spans="5:5">
      <c r="E45" s="38"/>
    </row>
    <row r="46" spans="5:5">
      <c r="E46" s="38"/>
    </row>
    <row r="47" spans="5:5">
      <c r="E47" s="38"/>
    </row>
    <row r="48" spans="5:5">
      <c r="E48" s="38"/>
    </row>
    <row r="49" spans="5:5">
      <c r="E49" s="38"/>
    </row>
    <row r="50" spans="5:5">
      <c r="E50" s="38"/>
    </row>
    <row r="51" spans="5:5">
      <c r="E51" s="38"/>
    </row>
    <row r="52" spans="5:5">
      <c r="E52" s="38"/>
    </row>
    <row r="53" spans="5:5">
      <c r="E53" s="38"/>
    </row>
    <row r="54" spans="5:5">
      <c r="E54" s="38"/>
    </row>
  </sheetData>
  <mergeCells count="2">
    <mergeCell ref="A1:M1"/>
    <mergeCell ref="A2:M2"/>
  </mergeCells>
  <pageMargins left="0.700694444444445" right="0.700694444444445" top="0.471527777777778" bottom="0.668055555555556" header="0.297916666666667" footer="0.297916666666667"/>
  <pageSetup paperSize="9" scale="97" fitToHeight="0" orientation="landscape" horizontalDpi="600"/>
  <headerFooter>
    <oddFooter>&amp;C第 &amp;P 页，共 &amp;N 页</oddFooter>
  </headerFooter>
  <colBreaks count="1" manualBreakCount="1">
    <brk id="13" max="1048575" man="1"/>
  </colBreak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11"/>
  <sheetViews>
    <sheetView view="pageBreakPreview" zoomScale="85" zoomScaleNormal="100" workbookViewId="0">
      <pane ySplit="3" topLeftCell="A4" activePane="bottomLeft" state="frozen"/>
      <selection/>
      <selection pane="bottomLeft" activeCell="J4" sqref="J4"/>
    </sheetView>
  </sheetViews>
  <sheetFormatPr defaultColWidth="9" defaultRowHeight="12"/>
  <cols>
    <col min="1" max="2" width="5.12962962962963" style="21" customWidth="1"/>
    <col min="3" max="3" width="10.1296296296296" style="21" customWidth="1"/>
    <col min="4" max="4" width="12.6296296296296" style="22" customWidth="1"/>
    <col min="5" max="5" width="46.7777777777778" style="22" customWidth="1"/>
    <col min="6" max="6" width="9" style="21"/>
    <col min="7" max="7" width="4.75" style="21" customWidth="1"/>
    <col min="8" max="8" width="6.77777777777778" style="21" customWidth="1"/>
    <col min="9" max="9" width="6.66666666666667" style="21" customWidth="1"/>
    <col min="10" max="10" width="9.77777777777778" style="21" customWidth="1"/>
    <col min="11" max="11" width="5.77777777777778" style="21" customWidth="1"/>
    <col min="12" max="12" width="7.87962962962963" style="23" customWidth="1"/>
    <col min="13" max="13" width="8.11111111111111" style="24" customWidth="1"/>
    <col min="14" max="16384" width="9" style="22"/>
  </cols>
  <sheetData>
    <row r="1" ht="20" customHeight="1" spans="1:13">
      <c r="A1" s="6" t="s">
        <v>291</v>
      </c>
      <c r="B1" s="6"/>
      <c r="C1" s="6"/>
      <c r="D1" s="6"/>
      <c r="E1" s="6"/>
      <c r="F1" s="6"/>
      <c r="G1" s="6"/>
      <c r="H1" s="6"/>
      <c r="I1" s="6"/>
      <c r="J1" s="6"/>
      <c r="K1" s="6"/>
      <c r="L1" s="7"/>
      <c r="M1" s="8"/>
    </row>
    <row r="2" ht="21" customHeight="1" spans="1:13">
      <c r="A2" s="22" t="s">
        <v>1</v>
      </c>
      <c r="K2" s="22"/>
    </row>
    <row r="3" s="19" customFormat="1" ht="25" customHeight="1" spans="1:13">
      <c r="A3" s="25" t="s">
        <v>2</v>
      </c>
      <c r="B3" s="25" t="s">
        <v>12</v>
      </c>
      <c r="C3" s="25" t="s">
        <v>13</v>
      </c>
      <c r="D3" s="25" t="s">
        <v>14</v>
      </c>
      <c r="E3" s="25" t="s">
        <v>15</v>
      </c>
      <c r="F3" s="25" t="s">
        <v>16</v>
      </c>
      <c r="G3" s="25" t="s">
        <v>17</v>
      </c>
      <c r="H3" s="25" t="s">
        <v>18</v>
      </c>
      <c r="I3" s="25" t="s">
        <v>19</v>
      </c>
      <c r="J3" s="25" t="s">
        <v>20</v>
      </c>
      <c r="K3" s="25" t="s">
        <v>21</v>
      </c>
      <c r="L3" s="10" t="s">
        <v>22</v>
      </c>
      <c r="M3" s="11" t="s">
        <v>4</v>
      </c>
    </row>
    <row r="4" ht="82" customHeight="1" spans="1:13">
      <c r="A4" s="26">
        <v>1</v>
      </c>
      <c r="B4" s="26" t="s">
        <v>292</v>
      </c>
      <c r="C4" s="26" t="s">
        <v>293</v>
      </c>
      <c r="D4" s="28" t="str">
        <f>_xlfn.DISPIMG("ID_A3CF8625760B45CBADD247487EFC92F2",1)</f>
        <v>=DISPIMG("ID_A3CF8625760B45CBADD247487EFC92F2",1)</v>
      </c>
      <c r="E4" s="29" t="s">
        <v>294</v>
      </c>
      <c r="F4" s="30" t="s">
        <v>295</v>
      </c>
      <c r="G4" s="30" t="s">
        <v>43</v>
      </c>
      <c r="H4" s="30" t="s">
        <v>37</v>
      </c>
      <c r="I4" s="30" t="s">
        <v>43</v>
      </c>
      <c r="J4" s="30" t="s">
        <v>296</v>
      </c>
      <c r="K4" s="26" t="s">
        <v>31</v>
      </c>
      <c r="L4" s="31">
        <v>1</v>
      </c>
      <c r="M4" s="30"/>
    </row>
    <row r="5" ht="75" customHeight="1" spans="1:13">
      <c r="A5" s="26">
        <f t="shared" ref="A5:A10" si="0">+A4+1</f>
        <v>2</v>
      </c>
      <c r="B5" s="26" t="s">
        <v>297</v>
      </c>
      <c r="C5" s="26" t="s">
        <v>298</v>
      </c>
      <c r="D5" s="28" t="str">
        <f>_xlfn.DISPIMG("ID_663CED5B10FA49329A645CDEB5AC010F",1)</f>
        <v>=DISPIMG("ID_663CED5B10FA49329A645CDEB5AC010F",1)</v>
      </c>
      <c r="E5" s="29" t="s">
        <v>299</v>
      </c>
      <c r="F5" s="30" t="s">
        <v>125</v>
      </c>
      <c r="G5" s="30" t="s">
        <v>43</v>
      </c>
      <c r="H5" s="30" t="s">
        <v>78</v>
      </c>
      <c r="I5" s="30" t="s">
        <v>43</v>
      </c>
      <c r="J5" s="30" t="s">
        <v>300</v>
      </c>
      <c r="K5" s="26" t="s">
        <v>31</v>
      </c>
      <c r="L5" s="31">
        <v>40</v>
      </c>
      <c r="M5" s="30"/>
    </row>
    <row r="6" ht="94" customHeight="1" spans="1:13">
      <c r="A6" s="26">
        <f t="shared" si="0"/>
        <v>3</v>
      </c>
      <c r="B6" s="26" t="s">
        <v>301</v>
      </c>
      <c r="C6" s="26" t="s">
        <v>302</v>
      </c>
      <c r="D6" s="27" t="str">
        <f>_xlfn.DISPIMG("ID_D39934019D694D0BBD91615B3AEF875A",1)</f>
        <v>=DISPIMG("ID_D39934019D694D0BBD91615B3AEF875A",1)</v>
      </c>
      <c r="E6" s="29" t="s">
        <v>303</v>
      </c>
      <c r="F6" s="30" t="s">
        <v>304</v>
      </c>
      <c r="G6" s="30" t="s">
        <v>43</v>
      </c>
      <c r="H6" s="30" t="s">
        <v>37</v>
      </c>
      <c r="I6" s="30" t="s">
        <v>43</v>
      </c>
      <c r="J6" s="30" t="s">
        <v>305</v>
      </c>
      <c r="K6" s="26" t="s">
        <v>31</v>
      </c>
      <c r="L6" s="31">
        <v>2</v>
      </c>
      <c r="M6" s="30"/>
    </row>
    <row r="7" ht="58" customHeight="1" spans="1:13">
      <c r="A7" s="26">
        <f t="shared" si="0"/>
        <v>4</v>
      </c>
      <c r="B7" s="26" t="s">
        <v>306</v>
      </c>
      <c r="C7" s="26" t="s">
        <v>91</v>
      </c>
      <c r="D7" s="27" t="str">
        <f>_xlfn.DISPIMG("ID_2698E87E12CA41BD9B3B0E6B7BFFDF9E",1)</f>
        <v>=DISPIMG("ID_2698E87E12CA41BD9B3B0E6B7BFFDF9E",1)</v>
      </c>
      <c r="E7" s="29" t="s">
        <v>92</v>
      </c>
      <c r="F7" s="30" t="s">
        <v>93</v>
      </c>
      <c r="G7" s="30" t="s">
        <v>43</v>
      </c>
      <c r="H7" s="30" t="s">
        <v>94</v>
      </c>
      <c r="I7" s="30" t="s">
        <v>43</v>
      </c>
      <c r="J7" s="30" t="s">
        <v>95</v>
      </c>
      <c r="K7" s="26" t="s">
        <v>31</v>
      </c>
      <c r="L7" s="31">
        <v>30</v>
      </c>
      <c r="M7" s="30" t="s">
        <v>96</v>
      </c>
    </row>
    <row r="8" ht="159" customHeight="1" spans="1:13">
      <c r="A8" s="26">
        <f t="shared" si="0"/>
        <v>5</v>
      </c>
      <c r="B8" s="26"/>
      <c r="C8" s="26" t="s">
        <v>307</v>
      </c>
      <c r="D8" s="27" t="str">
        <f>_xlfn.DISPIMG("ID_20095F7AF768425AAC18F3F92B018093",1)</f>
        <v>=DISPIMG("ID_20095F7AF768425AAC18F3F92B018093",1)</v>
      </c>
      <c r="E8" s="29" t="s">
        <v>109</v>
      </c>
      <c r="F8" s="30" t="s">
        <v>110</v>
      </c>
      <c r="G8" s="30" t="s">
        <v>43</v>
      </c>
      <c r="H8" s="30" t="s">
        <v>43</v>
      </c>
      <c r="I8" s="30" t="s">
        <v>43</v>
      </c>
      <c r="J8" s="30" t="s">
        <v>308</v>
      </c>
      <c r="K8" s="26" t="s">
        <v>220</v>
      </c>
      <c r="L8" s="31">
        <v>6</v>
      </c>
      <c r="M8" s="30"/>
    </row>
    <row r="9" ht="89" customHeight="1" spans="1:13">
      <c r="A9" s="26">
        <f t="shared" si="0"/>
        <v>6</v>
      </c>
      <c r="B9" s="26"/>
      <c r="C9" s="26" t="s">
        <v>309</v>
      </c>
      <c r="D9" s="27" t="str">
        <f>_xlfn.DISPIMG("ID_A44752A197BF4A958783F1B0FF798A4C",1)</f>
        <v>=DISPIMG("ID_A44752A197BF4A958783F1B0FF798A4C",1)</v>
      </c>
      <c r="E9" s="29" t="s">
        <v>310</v>
      </c>
      <c r="F9" s="30" t="s">
        <v>274</v>
      </c>
      <c r="G9" s="30" t="s">
        <v>43</v>
      </c>
      <c r="H9" s="30" t="s">
        <v>43</v>
      </c>
      <c r="I9" s="30" t="s">
        <v>43</v>
      </c>
      <c r="J9" s="30" t="s">
        <v>311</v>
      </c>
      <c r="K9" s="26" t="s">
        <v>31</v>
      </c>
      <c r="L9" s="31">
        <v>10</v>
      </c>
      <c r="M9" s="30"/>
    </row>
    <row r="10" ht="62" customHeight="1" spans="1:13">
      <c r="A10" s="26">
        <f t="shared" si="0"/>
        <v>7</v>
      </c>
      <c r="B10" s="26"/>
      <c r="C10" s="26" t="s">
        <v>312</v>
      </c>
      <c r="D10" s="27" t="str">
        <f>_xlfn.DISPIMG("ID_AAAE2F0B5AA043E5AB5EF328BA63B383",1)</f>
        <v>=DISPIMG("ID_AAAE2F0B5AA043E5AB5EF328BA63B383",1)</v>
      </c>
      <c r="E10" s="29" t="s">
        <v>313</v>
      </c>
      <c r="F10" s="30" t="s">
        <v>43</v>
      </c>
      <c r="G10" s="30" t="s">
        <v>43</v>
      </c>
      <c r="H10" s="30" t="s">
        <v>55</v>
      </c>
      <c r="I10" s="30" t="s">
        <v>43</v>
      </c>
      <c r="J10" s="30" t="s">
        <v>314</v>
      </c>
      <c r="K10" s="26" t="s">
        <v>315</v>
      </c>
      <c r="L10" s="31">
        <v>382.155</v>
      </c>
      <c r="M10" s="30"/>
    </row>
    <row r="11" spans="1:13">
      <c r="E11" s="38"/>
    </row>
  </sheetData>
  <mergeCells count="2">
    <mergeCell ref="A1:M1"/>
    <mergeCell ref="A2:M2"/>
  </mergeCells>
  <pageMargins left="0.700694444444445" right="0.700694444444445" top="0.432638888888889" bottom="0.590277777777778" header="0.297916666666667" footer="0.118055555555556"/>
  <pageSetup paperSize="9" scale="96" fitToHeight="0" orientation="landscape" horizontalDpi="600"/>
  <headerFooter>
    <oddFooter>&amp;C第 &amp;P 页，共 &amp;N 页</oddFooter>
  </headerFooter>
  <colBreaks count="1" manualBreakCount="1">
    <brk id="13" max="1048575" man="1"/>
  </colBreak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24"/>
  <sheetViews>
    <sheetView view="pageBreakPreview" zoomScale="85" zoomScaleNormal="100" workbookViewId="0">
      <pane ySplit="3" topLeftCell="A4" activePane="bottomLeft" state="frozen"/>
      <selection/>
      <selection pane="bottomLeft" activeCell="I4" sqref="I4"/>
    </sheetView>
  </sheetViews>
  <sheetFormatPr defaultColWidth="9" defaultRowHeight="12"/>
  <cols>
    <col min="1" max="2" width="5.12962962962963" style="21" customWidth="1"/>
    <col min="3" max="3" width="10.1296296296296" style="22" customWidth="1"/>
    <col min="4" max="4" width="12.6296296296296" style="22" customWidth="1"/>
    <col min="5" max="5" width="50.2222222222222" style="22" customWidth="1"/>
    <col min="6" max="6" width="9" style="21"/>
    <col min="7" max="7" width="4.75" style="21" customWidth="1"/>
    <col min="8" max="8" width="5.66666666666667" style="21" customWidth="1"/>
    <col min="9" max="9" width="8.22222222222222" style="21" customWidth="1"/>
    <col min="10" max="10" width="11.2222222222222" style="21" customWidth="1"/>
    <col min="11" max="11" width="4.62962962962963" style="21" customWidth="1"/>
    <col min="12" max="12" width="9.12962962962963" style="23" customWidth="1"/>
    <col min="13" max="13" width="10.3333333333333" style="24" customWidth="1"/>
    <col min="14" max="16384" width="9" style="22"/>
  </cols>
  <sheetData>
    <row r="1" ht="22" customHeight="1" spans="1:13">
      <c r="A1" s="6" t="s">
        <v>316</v>
      </c>
      <c r="B1" s="6"/>
      <c r="C1" s="6"/>
      <c r="D1" s="6"/>
      <c r="E1" s="6"/>
      <c r="F1" s="6"/>
      <c r="G1" s="6"/>
      <c r="H1" s="6"/>
      <c r="I1" s="6"/>
      <c r="J1" s="6"/>
      <c r="K1" s="6"/>
      <c r="L1" s="7"/>
      <c r="M1" s="8"/>
    </row>
    <row r="2" ht="19" customHeight="1" spans="1:13">
      <c r="A2" s="22" t="s">
        <v>1</v>
      </c>
      <c r="K2" s="22"/>
    </row>
    <row r="3" s="19" customFormat="1" ht="23" customHeight="1" spans="1:13">
      <c r="A3" s="25" t="s">
        <v>2</v>
      </c>
      <c r="B3" s="25" t="s">
        <v>12</v>
      </c>
      <c r="C3" s="25" t="s">
        <v>13</v>
      </c>
      <c r="D3" s="25" t="s">
        <v>14</v>
      </c>
      <c r="E3" s="25" t="s">
        <v>15</v>
      </c>
      <c r="F3" s="25" t="s">
        <v>16</v>
      </c>
      <c r="G3" s="25" t="s">
        <v>17</v>
      </c>
      <c r="H3" s="25" t="s">
        <v>18</v>
      </c>
      <c r="I3" s="25" t="s">
        <v>19</v>
      </c>
      <c r="J3" s="25" t="s">
        <v>20</v>
      </c>
      <c r="K3" s="25" t="s">
        <v>21</v>
      </c>
      <c r="L3" s="10" t="s">
        <v>22</v>
      </c>
      <c r="M3" s="11" t="s">
        <v>4</v>
      </c>
    </row>
    <row r="4" ht="240" customHeight="1" spans="1:13">
      <c r="A4" s="26">
        <v>1</v>
      </c>
      <c r="B4" s="26" t="s">
        <v>317</v>
      </c>
      <c r="C4" s="27" t="s">
        <v>318</v>
      </c>
      <c r="D4" s="28" t="str">
        <f>_xlfn.DISPIMG("ID_E04DC2827E2C4D6D9A9E6B385A375EC3",1)</f>
        <v>=DISPIMG("ID_E04DC2827E2C4D6D9A9E6B385A375EC3",1)</v>
      </c>
      <c r="E4" s="29" t="s">
        <v>319</v>
      </c>
      <c r="F4" s="30" t="s">
        <v>320</v>
      </c>
      <c r="G4" s="30" t="s">
        <v>27</v>
      </c>
      <c r="H4" s="30" t="s">
        <v>94</v>
      </c>
      <c r="I4" s="30" t="s">
        <v>29</v>
      </c>
      <c r="J4" s="30" t="s">
        <v>321</v>
      </c>
      <c r="K4" s="26" t="s">
        <v>220</v>
      </c>
      <c r="L4" s="31">
        <v>2</v>
      </c>
      <c r="M4" s="30" t="s">
        <v>322</v>
      </c>
    </row>
    <row r="5" ht="137" customHeight="1" spans="1:13">
      <c r="A5" s="26">
        <f t="shared" ref="A5:A21" si="0">+A4+1</f>
        <v>2</v>
      </c>
      <c r="B5" s="26" t="s">
        <v>323</v>
      </c>
      <c r="C5" s="27" t="s">
        <v>324</v>
      </c>
      <c r="D5" s="28" t="str">
        <f>_xlfn.DISPIMG("ID_20704AD7E0714EC2A3C993B9FFD989F6",1)</f>
        <v>=DISPIMG("ID_20704AD7E0714EC2A3C993B9FFD989F6",1)</v>
      </c>
      <c r="E5" s="29" t="s">
        <v>325</v>
      </c>
      <c r="F5" s="30" t="s">
        <v>326</v>
      </c>
      <c r="G5" s="30" t="s">
        <v>61</v>
      </c>
      <c r="H5" s="30" t="s">
        <v>94</v>
      </c>
      <c r="I5" s="30" t="s">
        <v>29</v>
      </c>
      <c r="J5" s="30" t="s">
        <v>327</v>
      </c>
      <c r="K5" s="26" t="s">
        <v>31</v>
      </c>
      <c r="L5" s="31">
        <v>36</v>
      </c>
      <c r="M5" s="30" t="s">
        <v>322</v>
      </c>
    </row>
    <row r="6" s="20" customFormat="1" ht="74" customHeight="1" spans="1:13">
      <c r="A6" s="32">
        <f t="shared" si="0"/>
        <v>3</v>
      </c>
      <c r="B6" s="32" t="s">
        <v>328</v>
      </c>
      <c r="C6" s="33" t="s">
        <v>329</v>
      </c>
      <c r="D6" s="33" t="str">
        <f>_xlfn.DISPIMG("ID_E6533FE82B864B82A1BC9E2A33FD9E7E",1)</f>
        <v>=DISPIMG("ID_E6533FE82B864B82A1BC9E2A33FD9E7E",1)</v>
      </c>
      <c r="E6" s="34" t="s">
        <v>330</v>
      </c>
      <c r="F6" s="35" t="s">
        <v>331</v>
      </c>
      <c r="G6" s="36" t="s">
        <v>27</v>
      </c>
      <c r="H6" s="36" t="s">
        <v>94</v>
      </c>
      <c r="I6" s="36" t="s">
        <v>332</v>
      </c>
      <c r="J6" s="36" t="str">
        <f>_xlfn.DISPIMG("ID_26E9D86B3D9044D69A4EBA20ABF37943",1)</f>
        <v>=DISPIMG("ID_26E9D86B3D9044D69A4EBA20ABF37943",1)</v>
      </c>
      <c r="K6" s="32" t="s">
        <v>333</v>
      </c>
      <c r="L6" s="37">
        <f>1759.05+281.49</f>
        <v>2040.54</v>
      </c>
      <c r="M6" s="36" t="s">
        <v>334</v>
      </c>
    </row>
    <row r="7" ht="79" customHeight="1" spans="1:13">
      <c r="A7" s="26">
        <f t="shared" si="0"/>
        <v>4</v>
      </c>
      <c r="B7" s="26" t="s">
        <v>166</v>
      </c>
      <c r="C7" s="27" t="s">
        <v>167</v>
      </c>
      <c r="D7" s="27" t="str">
        <f>_xlfn.DISPIMG("ID_CBEB0BB3EB574A96B8511E78B1F49F60",1)</f>
        <v>=DISPIMG("ID_CBEB0BB3EB574A96B8511E78B1F49F60",1)</v>
      </c>
      <c r="E7" s="29" t="s">
        <v>335</v>
      </c>
      <c r="F7" s="30" t="s">
        <v>173</v>
      </c>
      <c r="G7" s="30" t="s">
        <v>27</v>
      </c>
      <c r="H7" s="30" t="s">
        <v>78</v>
      </c>
      <c r="I7" s="30" t="s">
        <v>43</v>
      </c>
      <c r="J7" s="30" t="s">
        <v>174</v>
      </c>
      <c r="K7" s="26" t="s">
        <v>31</v>
      </c>
      <c r="L7" s="31">
        <f>131+64+62</f>
        <v>257</v>
      </c>
      <c r="M7" s="30"/>
    </row>
    <row r="8" ht="100.2" spans="1:13">
      <c r="A8" s="26">
        <f t="shared" si="0"/>
        <v>5</v>
      </c>
      <c r="B8" s="26">
        <v>5</v>
      </c>
      <c r="C8" s="27" t="s">
        <v>336</v>
      </c>
      <c r="D8" s="27" t="str">
        <f>_xlfn.DISPIMG("ID_7C05BF11A49B4C578A19D8D69427262A",1)</f>
        <v>=DISPIMG("ID_7C05BF11A49B4C578A19D8D69427262A",1)</v>
      </c>
      <c r="E8" s="29" t="s">
        <v>337</v>
      </c>
      <c r="F8" s="30" t="s">
        <v>338</v>
      </c>
      <c r="G8" s="30" t="s">
        <v>27</v>
      </c>
      <c r="H8" s="30" t="s">
        <v>78</v>
      </c>
      <c r="I8" s="30" t="s">
        <v>43</v>
      </c>
      <c r="J8" s="30" t="s">
        <v>339</v>
      </c>
      <c r="K8" s="26" t="s">
        <v>340</v>
      </c>
      <c r="L8" s="31">
        <v>2303</v>
      </c>
      <c r="M8" s="30"/>
    </row>
    <row r="9" ht="60.15" spans="1:13">
      <c r="A9" s="26">
        <f t="shared" si="0"/>
        <v>6</v>
      </c>
      <c r="B9" s="26">
        <v>7</v>
      </c>
      <c r="C9" s="27" t="s">
        <v>341</v>
      </c>
      <c r="D9" s="27" t="str">
        <f>_xlfn.DISPIMG("ID_3A4BDD10596F4747AF042604BBBADBB2",1)</f>
        <v>=DISPIMG("ID_3A4BDD10596F4747AF042604BBBADBB2",1)</v>
      </c>
      <c r="E9" s="29" t="s">
        <v>342</v>
      </c>
      <c r="F9" s="30" t="s">
        <v>343</v>
      </c>
      <c r="G9" s="30" t="s">
        <v>344</v>
      </c>
      <c r="H9" s="30" t="s">
        <v>94</v>
      </c>
      <c r="I9" s="30" t="s">
        <v>43</v>
      </c>
      <c r="J9" s="30" t="s">
        <v>345</v>
      </c>
      <c r="K9" s="26" t="s">
        <v>220</v>
      </c>
      <c r="L9" s="31">
        <v>206</v>
      </c>
      <c r="M9" s="30"/>
    </row>
    <row r="10" ht="43.2" spans="1:13">
      <c r="A10" s="26">
        <f t="shared" si="0"/>
        <v>7</v>
      </c>
      <c r="B10" s="26">
        <v>8</v>
      </c>
      <c r="C10" s="27" t="s">
        <v>346</v>
      </c>
      <c r="D10" s="27" t="str">
        <f>_xlfn.DISPIMG("ID_113F1F949F154E14B4F5704BA5BF2848",1)</f>
        <v>=DISPIMG("ID_113F1F949F154E14B4F5704BA5BF2848",1)</v>
      </c>
      <c r="E10" s="29" t="s">
        <v>347</v>
      </c>
      <c r="F10" s="30" t="s">
        <v>348</v>
      </c>
      <c r="G10" s="30" t="s">
        <v>27</v>
      </c>
      <c r="H10" s="30" t="s">
        <v>349</v>
      </c>
      <c r="I10" s="30" t="s">
        <v>43</v>
      </c>
      <c r="J10" s="30" t="s">
        <v>350</v>
      </c>
      <c r="K10" s="26" t="s">
        <v>220</v>
      </c>
      <c r="L10" s="31">
        <f>62*400</f>
        <v>24800</v>
      </c>
      <c r="M10" s="30"/>
    </row>
    <row r="11" ht="75.6" spans="1:13">
      <c r="A11" s="26">
        <f t="shared" si="0"/>
        <v>8</v>
      </c>
      <c r="B11" s="26">
        <v>12</v>
      </c>
      <c r="C11" s="27" t="s">
        <v>351</v>
      </c>
      <c r="D11" s="27" t="str">
        <f>_xlfn.DISPIMG("ID_9BA541A3FA624ACCB0FF3155F9DDD4CE",1)</f>
        <v>=DISPIMG("ID_9BA541A3FA624ACCB0FF3155F9DDD4CE",1)</v>
      </c>
      <c r="E11" s="29" t="s">
        <v>352</v>
      </c>
      <c r="F11" s="30" t="s">
        <v>353</v>
      </c>
      <c r="G11" s="30" t="s">
        <v>27</v>
      </c>
      <c r="H11" s="30" t="s">
        <v>314</v>
      </c>
      <c r="I11" s="30" t="s">
        <v>43</v>
      </c>
      <c r="J11" s="30" t="s">
        <v>354</v>
      </c>
      <c r="K11" s="26" t="s">
        <v>220</v>
      </c>
      <c r="L11" s="31">
        <v>2</v>
      </c>
      <c r="M11" s="30"/>
    </row>
    <row r="12" ht="84" customHeight="1" spans="1:13">
      <c r="A12" s="26">
        <f t="shared" si="0"/>
        <v>9</v>
      </c>
      <c r="B12" s="26">
        <v>13</v>
      </c>
      <c r="C12" s="27" t="s">
        <v>355</v>
      </c>
      <c r="D12" s="27" t="str">
        <f>_xlfn.DISPIMG("ID_826B0A6A7C0942118AEDC7A1434EABD9",1)</f>
        <v>=DISPIMG("ID_826B0A6A7C0942118AEDC7A1434EABD9",1)</v>
      </c>
      <c r="E12" s="29" t="s">
        <v>356</v>
      </c>
      <c r="F12" s="30" t="s">
        <v>357</v>
      </c>
      <c r="G12" s="30" t="s">
        <v>27</v>
      </c>
      <c r="H12" s="30" t="s">
        <v>314</v>
      </c>
      <c r="I12" s="30" t="s">
        <v>43</v>
      </c>
      <c r="J12" s="30" t="s">
        <v>358</v>
      </c>
      <c r="K12" s="26" t="s">
        <v>220</v>
      </c>
      <c r="L12" s="31">
        <v>2</v>
      </c>
      <c r="M12" s="30"/>
    </row>
    <row r="13" ht="70" customHeight="1" spans="1:13">
      <c r="A13" s="26">
        <f t="shared" si="0"/>
        <v>10</v>
      </c>
      <c r="B13" s="26">
        <v>14</v>
      </c>
      <c r="C13" s="27" t="s">
        <v>359</v>
      </c>
      <c r="D13" s="27" t="str">
        <f>_xlfn.DISPIMG("ID_0E5EC37A8AB441418F15D53FD05EADE0",1)</f>
        <v>=DISPIMG("ID_0E5EC37A8AB441418F15D53FD05EADE0",1)</v>
      </c>
      <c r="E13" s="29" t="s">
        <v>360</v>
      </c>
      <c r="F13" s="30" t="s">
        <v>361</v>
      </c>
      <c r="G13" s="30" t="s">
        <v>27</v>
      </c>
      <c r="H13" s="30" t="s">
        <v>314</v>
      </c>
      <c r="I13" s="30" t="s">
        <v>43</v>
      </c>
      <c r="J13" s="30" t="s">
        <v>362</v>
      </c>
      <c r="K13" s="26" t="s">
        <v>220</v>
      </c>
      <c r="L13" s="31">
        <v>4</v>
      </c>
      <c r="M13" s="30"/>
    </row>
    <row r="14" ht="78.55" spans="1:13">
      <c r="A14" s="26">
        <f t="shared" si="0"/>
        <v>11</v>
      </c>
      <c r="B14" s="26">
        <v>15</v>
      </c>
      <c r="C14" s="27" t="s">
        <v>355</v>
      </c>
      <c r="D14" s="27" t="str">
        <f>_xlfn.DISPIMG("ID_EF936F2C7626491FB5F35F70C94DF122",1)</f>
        <v>=DISPIMG("ID_EF936F2C7626491FB5F35F70C94DF122",1)</v>
      </c>
      <c r="E14" s="29" t="s">
        <v>363</v>
      </c>
      <c r="F14" s="30" t="s">
        <v>364</v>
      </c>
      <c r="G14" s="30" t="s">
        <v>27</v>
      </c>
      <c r="H14" s="30" t="s">
        <v>314</v>
      </c>
      <c r="I14" s="30" t="s">
        <v>43</v>
      </c>
      <c r="J14" s="30" t="s">
        <v>365</v>
      </c>
      <c r="K14" s="26" t="s">
        <v>220</v>
      </c>
      <c r="L14" s="31">
        <v>4</v>
      </c>
      <c r="M14" s="30"/>
    </row>
    <row r="15" ht="97.2" spans="1:13">
      <c r="A15" s="26">
        <f t="shared" si="0"/>
        <v>12</v>
      </c>
      <c r="B15" s="26" t="s">
        <v>366</v>
      </c>
      <c r="C15" s="27" t="s">
        <v>367</v>
      </c>
      <c r="D15" s="27" t="str">
        <f>_xlfn.DISPIMG("ID_F1F9C5C456BC4053A775650CB3F6990A",1)</f>
        <v>=DISPIMG("ID_F1F9C5C456BC4053A775650CB3F6990A",1)</v>
      </c>
      <c r="E15" s="29" t="s">
        <v>368</v>
      </c>
      <c r="F15" s="30" t="s">
        <v>369</v>
      </c>
      <c r="G15" s="30" t="s">
        <v>27</v>
      </c>
      <c r="H15" s="30" t="s">
        <v>314</v>
      </c>
      <c r="I15" s="30" t="s">
        <v>29</v>
      </c>
      <c r="J15" s="30" t="s">
        <v>370</v>
      </c>
      <c r="K15" s="26" t="s">
        <v>220</v>
      </c>
      <c r="L15" s="31">
        <v>11</v>
      </c>
      <c r="M15" s="30" t="s">
        <v>322</v>
      </c>
    </row>
    <row r="16" ht="75.6" spans="1:13">
      <c r="A16" s="26">
        <f t="shared" si="0"/>
        <v>13</v>
      </c>
      <c r="B16" s="26">
        <v>17</v>
      </c>
      <c r="C16" s="27" t="s">
        <v>371</v>
      </c>
      <c r="D16" s="27" t="str">
        <f>_xlfn.DISPIMG("ID_D1BDCF32E63845049ADF7B5284AD00B0",1)</f>
        <v>=DISPIMG("ID_D1BDCF32E63845049ADF7B5284AD00B0",1)</v>
      </c>
      <c r="E16" s="29" t="s">
        <v>356</v>
      </c>
      <c r="F16" s="30" t="s">
        <v>372</v>
      </c>
      <c r="G16" s="30" t="s">
        <v>27</v>
      </c>
      <c r="H16" s="30" t="s">
        <v>78</v>
      </c>
      <c r="I16" s="30" t="s">
        <v>43</v>
      </c>
      <c r="J16" s="30" t="s">
        <v>373</v>
      </c>
      <c r="K16" s="26" t="s">
        <v>220</v>
      </c>
      <c r="L16" s="31">
        <v>39</v>
      </c>
      <c r="M16" s="30"/>
    </row>
    <row r="17" ht="32.4" spans="1:13">
      <c r="A17" s="26">
        <f t="shared" si="0"/>
        <v>14</v>
      </c>
      <c r="B17" s="26" t="s">
        <v>374</v>
      </c>
      <c r="C17" s="27" t="s">
        <v>167</v>
      </c>
      <c r="D17" s="27" t="str">
        <f>_xlfn.DISPIMG("ID_4BDCDB8C5FEA41E385EE125F981ABBEF",1)</f>
        <v>=DISPIMG("ID_4BDCDB8C5FEA41E385EE125F981ABBEF",1)</v>
      </c>
      <c r="E17" s="29" t="s">
        <v>375</v>
      </c>
      <c r="F17" s="30" t="s">
        <v>376</v>
      </c>
      <c r="G17" s="30" t="s">
        <v>27</v>
      </c>
      <c r="H17" s="30" t="s">
        <v>314</v>
      </c>
      <c r="I17" s="30" t="s">
        <v>43</v>
      </c>
      <c r="J17" s="30" t="s">
        <v>377</v>
      </c>
      <c r="K17" s="26" t="s">
        <v>220</v>
      </c>
      <c r="L17" s="31">
        <v>24</v>
      </c>
      <c r="M17" s="30"/>
    </row>
    <row r="18" ht="32.4" spans="1:13">
      <c r="A18" s="26">
        <f t="shared" si="0"/>
        <v>15</v>
      </c>
      <c r="B18" s="26" t="s">
        <v>378</v>
      </c>
      <c r="C18" s="27" t="s">
        <v>167</v>
      </c>
      <c r="D18" s="27" t="str">
        <f>_xlfn.DISPIMG("ID_4BDCDB8C5FEA41E385EE125F981ABBEF",1)</f>
        <v>=DISPIMG("ID_4BDCDB8C5FEA41E385EE125F981ABBEF",1)</v>
      </c>
      <c r="E18" s="29" t="s">
        <v>375</v>
      </c>
      <c r="F18" s="30" t="s">
        <v>376</v>
      </c>
      <c r="G18" s="30" t="s">
        <v>27</v>
      </c>
      <c r="H18" s="30" t="s">
        <v>314</v>
      </c>
      <c r="I18" s="30" t="s">
        <v>43</v>
      </c>
      <c r="J18" s="30" t="s">
        <v>379</v>
      </c>
      <c r="K18" s="26" t="s">
        <v>220</v>
      </c>
      <c r="L18" s="31">
        <v>2</v>
      </c>
      <c r="M18" s="30"/>
    </row>
    <row r="19" ht="64.8" spans="1:13">
      <c r="A19" s="26">
        <f t="shared" si="0"/>
        <v>16</v>
      </c>
      <c r="B19" s="26" t="s">
        <v>380</v>
      </c>
      <c r="C19" s="27" t="s">
        <v>381</v>
      </c>
      <c r="D19" s="27"/>
      <c r="E19" s="29" t="s">
        <v>382</v>
      </c>
      <c r="F19" s="30" t="s">
        <v>383</v>
      </c>
      <c r="G19" s="30" t="s">
        <v>27</v>
      </c>
      <c r="H19" s="30" t="s">
        <v>314</v>
      </c>
      <c r="I19" s="30" t="s">
        <v>29</v>
      </c>
      <c r="J19" s="30" t="s">
        <v>384</v>
      </c>
      <c r="K19" s="26" t="s">
        <v>220</v>
      </c>
      <c r="L19" s="31">
        <v>1</v>
      </c>
      <c r="M19" s="30" t="s">
        <v>322</v>
      </c>
    </row>
    <row r="20" ht="93.3" spans="1:13">
      <c r="A20" s="26">
        <f t="shared" si="0"/>
        <v>17</v>
      </c>
      <c r="B20" s="26">
        <v>20</v>
      </c>
      <c r="C20" s="27" t="s">
        <v>385</v>
      </c>
      <c r="D20" s="27" t="str">
        <f>_xlfn.DISPIMG("ID_736408427EDE4FF9AB2F512357B91930",1)</f>
        <v>=DISPIMG("ID_736408427EDE4FF9AB2F512357B91930",1)</v>
      </c>
      <c r="E20" s="29" t="s">
        <v>386</v>
      </c>
      <c r="F20" s="30" t="s">
        <v>387</v>
      </c>
      <c r="G20" s="30" t="s">
        <v>27</v>
      </c>
      <c r="H20" s="30" t="s">
        <v>314</v>
      </c>
      <c r="I20" s="30" t="s">
        <v>43</v>
      </c>
      <c r="J20" s="30" t="s">
        <v>388</v>
      </c>
      <c r="K20" s="26" t="s">
        <v>220</v>
      </c>
      <c r="L20" s="31">
        <v>126</v>
      </c>
      <c r="M20" s="30"/>
    </row>
    <row r="21" ht="60" spans="1:13">
      <c r="A21" s="26">
        <f t="shared" si="0"/>
        <v>18</v>
      </c>
      <c r="B21" s="26">
        <v>21</v>
      </c>
      <c r="C21" s="27" t="s">
        <v>389</v>
      </c>
      <c r="D21" s="27" t="str">
        <f>_xlfn.DISPIMG("ID_74B7E1C3DD424A0790DBB31E1AC45D4F",1)</f>
        <v>=DISPIMG("ID_74B7E1C3DD424A0790DBB31E1AC45D4F",1)</v>
      </c>
      <c r="E21" s="29" t="s">
        <v>363</v>
      </c>
      <c r="F21" s="30" t="s">
        <v>390</v>
      </c>
      <c r="G21" s="30" t="s">
        <v>27</v>
      </c>
      <c r="H21" s="30" t="s">
        <v>314</v>
      </c>
      <c r="I21" s="30" t="s">
        <v>43</v>
      </c>
      <c r="J21" s="30" t="s">
        <v>391</v>
      </c>
      <c r="K21" s="26" t="s">
        <v>220</v>
      </c>
      <c r="L21" s="31">
        <v>320</v>
      </c>
      <c r="M21" s="30"/>
    </row>
    <row r="22" spans="1:13">
      <c r="E22" s="38"/>
    </row>
    <row r="23" spans="1:13">
      <c r="E23" s="38"/>
    </row>
    <row r="24" spans="1:13">
      <c r="E24" s="38"/>
    </row>
  </sheetData>
  <mergeCells count="2">
    <mergeCell ref="A1:M1"/>
    <mergeCell ref="A2:M2"/>
  </mergeCells>
  <pageMargins left="0.700694444444445" right="0.700694444444445" top="0.432638888888889" bottom="0.751388888888889" header="0.297916666666667" footer="0.297916666666667"/>
  <pageSetup paperSize="9" scale="91" fitToHeight="0" orientation="landscape" horizontalDpi="600"/>
  <headerFooter>
    <oddFooter>&amp;C第 &amp;P 页，共 &amp;N 页</oddFooter>
  </headerFooter>
  <colBreaks count="1" manualBreakCount="1">
    <brk id="13" max="1048575" man="1"/>
  </colBreak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33"/>
  <sheetViews>
    <sheetView view="pageBreakPreview" zoomScaleNormal="100" workbookViewId="0">
      <pane ySplit="3" topLeftCell="A4" activePane="bottomLeft" state="frozen"/>
      <selection/>
      <selection pane="bottomLeft" activeCell="J4" sqref="J4"/>
    </sheetView>
  </sheetViews>
  <sheetFormatPr defaultColWidth="9" defaultRowHeight="12"/>
  <cols>
    <col min="1" max="2" width="5.12962962962963" style="3" customWidth="1"/>
    <col min="3" max="3" width="10.1296296296296" style="3" customWidth="1"/>
    <col min="4" max="4" width="12.6296296296296" style="2" customWidth="1"/>
    <col min="5" max="5" width="49.5555555555556" style="2" customWidth="1"/>
    <col min="6" max="6" width="9" style="3"/>
    <col min="7" max="7" width="4.75" style="3" customWidth="1"/>
    <col min="8" max="8" width="5.77777777777778" style="3" customWidth="1"/>
    <col min="9" max="9" width="6.22222222222222" style="3" customWidth="1"/>
    <col min="10" max="10" width="11.5555555555556" style="3" customWidth="1"/>
    <col min="11" max="11" width="4.62962962962963" style="3" customWidth="1"/>
    <col min="12" max="12" width="9.12962962962963" style="4" customWidth="1"/>
    <col min="13" max="13" width="11.6666666666667" style="5" customWidth="1"/>
    <col min="14" max="16384" width="9" style="2"/>
  </cols>
  <sheetData>
    <row r="1" ht="25" customHeight="1" spans="1:13">
      <c r="A1" s="6" t="s">
        <v>392</v>
      </c>
      <c r="B1" s="6"/>
      <c r="C1" s="6"/>
      <c r="D1" s="6"/>
      <c r="E1" s="6"/>
      <c r="F1" s="6"/>
      <c r="G1" s="6"/>
      <c r="H1" s="6"/>
      <c r="I1" s="6"/>
      <c r="J1" s="6"/>
      <c r="K1" s="6"/>
      <c r="L1" s="7"/>
      <c r="M1" s="8"/>
    </row>
    <row r="2" ht="23" customHeight="1" spans="1:13">
      <c r="A2" s="2" t="s">
        <v>1</v>
      </c>
      <c r="K2" s="2"/>
    </row>
    <row r="3" s="1" customFormat="1" ht="36" spans="1:13">
      <c r="A3" s="9" t="s">
        <v>2</v>
      </c>
      <c r="B3" s="9" t="s">
        <v>12</v>
      </c>
      <c r="C3" s="9" t="s">
        <v>13</v>
      </c>
      <c r="D3" s="9" t="s">
        <v>14</v>
      </c>
      <c r="E3" s="9" t="s">
        <v>15</v>
      </c>
      <c r="F3" s="9" t="s">
        <v>16</v>
      </c>
      <c r="G3" s="9" t="s">
        <v>17</v>
      </c>
      <c r="H3" s="9" t="s">
        <v>18</v>
      </c>
      <c r="I3" s="9" t="s">
        <v>19</v>
      </c>
      <c r="J3" s="9" t="s">
        <v>20</v>
      </c>
      <c r="K3" s="9" t="s">
        <v>21</v>
      </c>
      <c r="L3" s="10" t="s">
        <v>22</v>
      </c>
      <c r="M3" s="11" t="s">
        <v>4</v>
      </c>
    </row>
    <row r="4" ht="82" customHeight="1" spans="1:13">
      <c r="A4" s="12">
        <v>1</v>
      </c>
      <c r="B4" s="12" t="s">
        <v>393</v>
      </c>
      <c r="C4" s="12" t="s">
        <v>253</v>
      </c>
      <c r="D4" s="13" t="str">
        <f>_xlfn.DISPIMG("ID_27A563E7442C4AF2A655C774FE5E4105",1)</f>
        <v>=DISPIMG("ID_27A563E7442C4AF2A655C774FE5E4105",1)</v>
      </c>
      <c r="E4" s="14" t="s">
        <v>394</v>
      </c>
      <c r="F4" s="15" t="s">
        <v>255</v>
      </c>
      <c r="G4" s="15" t="s">
        <v>61</v>
      </c>
      <c r="H4" s="15" t="s">
        <v>111</v>
      </c>
      <c r="I4" s="15" t="s">
        <v>43</v>
      </c>
      <c r="J4" s="15" t="s">
        <v>395</v>
      </c>
      <c r="K4" s="12" t="s">
        <v>31</v>
      </c>
      <c r="L4" s="16">
        <f>10+10+10+20</f>
        <v>50</v>
      </c>
      <c r="M4" s="15" t="s">
        <v>396</v>
      </c>
    </row>
    <row r="5" ht="46" customHeight="1" spans="1:13">
      <c r="A5" s="12">
        <f t="shared" ref="A5:A25" si="0">+A4+1</f>
        <v>2</v>
      </c>
      <c r="B5" s="12" t="s">
        <v>397</v>
      </c>
      <c r="C5" s="12" t="s">
        <v>398</v>
      </c>
      <c r="D5" s="13" t="str">
        <f>_xlfn.DISPIMG("ID_B1B278A5FEEB4747922F997977E62693",1)</f>
        <v>=DISPIMG("ID_B1B278A5FEEB4747922F997977E62693",1)</v>
      </c>
      <c r="E5" s="14" t="s">
        <v>399</v>
      </c>
      <c r="F5" s="15" t="s">
        <v>400</v>
      </c>
      <c r="G5" s="15" t="s">
        <v>27</v>
      </c>
      <c r="H5" s="15" t="s">
        <v>78</v>
      </c>
      <c r="I5" s="15" t="s">
        <v>43</v>
      </c>
      <c r="J5" s="15" t="s">
        <v>401</v>
      </c>
      <c r="K5" s="12" t="s">
        <v>31</v>
      </c>
      <c r="L5" s="16">
        <v>1</v>
      </c>
      <c r="M5" s="15"/>
    </row>
    <row r="6" s="2" customFormat="1" ht="50" customHeight="1" spans="1:13">
      <c r="A6" s="12">
        <f t="shared" si="0"/>
        <v>3</v>
      </c>
      <c r="B6" s="12"/>
      <c r="C6" s="12" t="s">
        <v>402</v>
      </c>
      <c r="D6" s="13" t="str">
        <f>_xlfn.DISPIMG("ID_849FE0B8A6F04E5194A251EC57B9D670",1)</f>
        <v>=DISPIMG("ID_849FE0B8A6F04E5194A251EC57B9D670",1)</v>
      </c>
      <c r="E6" s="14" t="s">
        <v>403</v>
      </c>
      <c r="F6" s="15" t="s">
        <v>404</v>
      </c>
      <c r="G6" s="15" t="s">
        <v>27</v>
      </c>
      <c r="H6" s="15" t="s">
        <v>78</v>
      </c>
      <c r="I6" s="15" t="s">
        <v>43</v>
      </c>
      <c r="J6" s="15" t="s">
        <v>401</v>
      </c>
      <c r="K6" s="12" t="s">
        <v>31</v>
      </c>
      <c r="L6" s="16">
        <v>1</v>
      </c>
      <c r="M6" s="15"/>
    </row>
    <row r="7" ht="49" customHeight="1" spans="1:13">
      <c r="A7" s="12">
        <f t="shared" si="0"/>
        <v>4</v>
      </c>
      <c r="B7" s="12" t="s">
        <v>405</v>
      </c>
      <c r="C7" s="12" t="s">
        <v>406</v>
      </c>
      <c r="D7" s="13" t="str">
        <f>_xlfn.DISPIMG("ID_73E7E20CAF11439FB6ABD21A53AA344B",1)</f>
        <v>=DISPIMG("ID_73E7E20CAF11439FB6ABD21A53AA344B",1)</v>
      </c>
      <c r="E7" s="14" t="s">
        <v>399</v>
      </c>
      <c r="F7" s="15" t="s">
        <v>407</v>
      </c>
      <c r="G7" s="15" t="s">
        <v>27</v>
      </c>
      <c r="H7" s="15" t="s">
        <v>78</v>
      </c>
      <c r="I7" s="15" t="s">
        <v>408</v>
      </c>
      <c r="J7" s="15" t="s">
        <v>401</v>
      </c>
      <c r="K7" s="12" t="s">
        <v>31</v>
      </c>
      <c r="L7" s="16">
        <v>1</v>
      </c>
      <c r="M7" s="15"/>
    </row>
    <row r="8" ht="45" customHeight="1" spans="1:13">
      <c r="A8" s="12">
        <f t="shared" si="0"/>
        <v>5</v>
      </c>
      <c r="B8" s="12" t="s">
        <v>409</v>
      </c>
      <c r="C8" s="12" t="s">
        <v>410</v>
      </c>
      <c r="D8" s="17" t="str">
        <f>_xlfn.DISPIMG("ID_21C6A907EAC348AABADA0E9AA9E69C0A",1)</f>
        <v>=DISPIMG("ID_21C6A907EAC348AABADA0E9AA9E69C0A",1)</v>
      </c>
      <c r="E8" s="14" t="s">
        <v>411</v>
      </c>
      <c r="F8" s="15" t="s">
        <v>125</v>
      </c>
      <c r="G8" s="15" t="s">
        <v>27</v>
      </c>
      <c r="H8" s="15" t="s">
        <v>78</v>
      </c>
      <c r="I8" s="15" t="s">
        <v>408</v>
      </c>
      <c r="J8" s="15" t="s">
        <v>412</v>
      </c>
      <c r="K8" s="12" t="s">
        <v>31</v>
      </c>
      <c r="L8" s="16">
        <v>50</v>
      </c>
      <c r="M8" s="15"/>
    </row>
    <row r="9" ht="45" customHeight="1" spans="1:13">
      <c r="A9" s="12">
        <f t="shared" si="0"/>
        <v>6</v>
      </c>
      <c r="B9" s="12" t="s">
        <v>413</v>
      </c>
      <c r="C9" s="12" t="s">
        <v>414</v>
      </c>
      <c r="D9" s="17" t="str">
        <f>_xlfn.DISPIMG("ID_5834EE39CBE644A78AF8EEF34F410ABB",1)</f>
        <v>=DISPIMG("ID_5834EE39CBE644A78AF8EEF34F410ABB",1)</v>
      </c>
      <c r="E9" s="14" t="s">
        <v>411</v>
      </c>
      <c r="F9" s="15" t="s">
        <v>125</v>
      </c>
      <c r="G9" s="15" t="s">
        <v>27</v>
      </c>
      <c r="H9" s="15" t="s">
        <v>78</v>
      </c>
      <c r="I9" s="15" t="s">
        <v>408</v>
      </c>
      <c r="J9" s="15" t="s">
        <v>412</v>
      </c>
      <c r="K9" s="12" t="s">
        <v>31</v>
      </c>
      <c r="L9" s="16">
        <v>100</v>
      </c>
      <c r="M9" s="15"/>
    </row>
    <row r="10" ht="32.4" spans="1:13">
      <c r="A10" s="12">
        <f t="shared" si="0"/>
        <v>7</v>
      </c>
      <c r="B10" s="12" t="s">
        <v>415</v>
      </c>
      <c r="C10" s="12" t="s">
        <v>416</v>
      </c>
      <c r="D10" s="17" t="str">
        <f>_xlfn.DISPIMG("ID_0BF1592AC09D4270B0F000BB45B83F65",1)</f>
        <v>=DISPIMG("ID_0BF1592AC09D4270B0F000BB45B83F65",1)</v>
      </c>
      <c r="E10" s="14" t="s">
        <v>411</v>
      </c>
      <c r="F10" s="15" t="s">
        <v>125</v>
      </c>
      <c r="G10" s="15" t="s">
        <v>27</v>
      </c>
      <c r="H10" s="15" t="s">
        <v>78</v>
      </c>
      <c r="I10" s="15" t="s">
        <v>408</v>
      </c>
      <c r="J10" s="15" t="s">
        <v>412</v>
      </c>
      <c r="K10" s="12" t="s">
        <v>31</v>
      </c>
      <c r="L10" s="16">
        <v>50</v>
      </c>
      <c r="M10" s="15"/>
    </row>
    <row r="11" ht="32.4" spans="1:13">
      <c r="A11" s="12">
        <f t="shared" si="0"/>
        <v>8</v>
      </c>
      <c r="B11" s="12" t="s">
        <v>417</v>
      </c>
      <c r="C11" s="12" t="s">
        <v>418</v>
      </c>
      <c r="D11" s="17" t="str">
        <f>_xlfn.DISPIMG("ID_CDE59F8813404CA7A282363CA8F0EB08",1)</f>
        <v>=DISPIMG("ID_CDE59F8813404CA7A282363CA8F0EB08",1)</v>
      </c>
      <c r="E11" s="14" t="s">
        <v>411</v>
      </c>
      <c r="F11" s="15" t="s">
        <v>125</v>
      </c>
      <c r="G11" s="15" t="s">
        <v>27</v>
      </c>
      <c r="H11" s="15" t="s">
        <v>78</v>
      </c>
      <c r="I11" s="15" t="s">
        <v>408</v>
      </c>
      <c r="J11" s="15" t="s">
        <v>412</v>
      </c>
      <c r="K11" s="12" t="s">
        <v>31</v>
      </c>
      <c r="L11" s="16">
        <v>20</v>
      </c>
      <c r="M11" s="15"/>
    </row>
    <row r="12" ht="33" customHeight="1" spans="1:13">
      <c r="A12" s="12">
        <f t="shared" si="0"/>
        <v>9</v>
      </c>
      <c r="B12" s="12" t="s">
        <v>419</v>
      </c>
      <c r="C12" s="12" t="s">
        <v>420</v>
      </c>
      <c r="D12" s="17" t="str">
        <f>_xlfn.DISPIMG("ID_E8F800D0D2664814BD21DC4958DCA49F",1)</f>
        <v>=DISPIMG("ID_E8F800D0D2664814BD21DC4958DCA49F",1)</v>
      </c>
      <c r="E12" s="14" t="s">
        <v>421</v>
      </c>
      <c r="F12" s="15" t="s">
        <v>125</v>
      </c>
      <c r="G12" s="15" t="s">
        <v>27</v>
      </c>
      <c r="H12" s="15" t="s">
        <v>78</v>
      </c>
      <c r="I12" s="15" t="s">
        <v>408</v>
      </c>
      <c r="J12" s="15" t="s">
        <v>412</v>
      </c>
      <c r="K12" s="12" t="s">
        <v>31</v>
      </c>
      <c r="L12" s="16">
        <v>20</v>
      </c>
      <c r="M12" s="15"/>
    </row>
    <row r="13" ht="43" customHeight="1" spans="1:13">
      <c r="A13" s="12">
        <f t="shared" si="0"/>
        <v>10</v>
      </c>
      <c r="B13" s="12" t="s">
        <v>422</v>
      </c>
      <c r="C13" s="12" t="s">
        <v>423</v>
      </c>
      <c r="D13" s="17" t="str">
        <f>_xlfn.DISPIMG("ID_166D098B9051456EA38E7E463C455AEF",1)</f>
        <v>=DISPIMG("ID_166D098B9051456EA38E7E463C455AEF",1)</v>
      </c>
      <c r="E13" s="14" t="s">
        <v>411</v>
      </c>
      <c r="F13" s="15" t="s">
        <v>125</v>
      </c>
      <c r="G13" s="15" t="s">
        <v>27</v>
      </c>
      <c r="H13" s="15" t="s">
        <v>78</v>
      </c>
      <c r="I13" s="15" t="s">
        <v>408</v>
      </c>
      <c r="J13" s="15" t="s">
        <v>412</v>
      </c>
      <c r="K13" s="12" t="s">
        <v>31</v>
      </c>
      <c r="L13" s="16">
        <v>50</v>
      </c>
      <c r="M13" s="15"/>
    </row>
    <row r="14" ht="52" customHeight="1" spans="1:13">
      <c r="A14" s="12">
        <f t="shared" si="0"/>
        <v>11</v>
      </c>
      <c r="B14" s="12" t="s">
        <v>424</v>
      </c>
      <c r="C14" s="12" t="s">
        <v>425</v>
      </c>
      <c r="D14" s="17" t="str">
        <f>_xlfn.DISPIMG("ID_0ED05099E83D4CCB9704E79393C00844",1)</f>
        <v>=DISPIMG("ID_0ED05099E83D4CCB9704E79393C00844",1)</v>
      </c>
      <c r="E14" s="14" t="s">
        <v>426</v>
      </c>
      <c r="F14" s="15" t="s">
        <v>427</v>
      </c>
      <c r="G14" s="15" t="s">
        <v>27</v>
      </c>
      <c r="H14" s="15" t="s">
        <v>78</v>
      </c>
      <c r="I14" s="15" t="s">
        <v>408</v>
      </c>
      <c r="J14" s="15" t="s">
        <v>412</v>
      </c>
      <c r="K14" s="12" t="s">
        <v>31</v>
      </c>
      <c r="L14" s="16">
        <v>50</v>
      </c>
      <c r="M14" s="15"/>
    </row>
    <row r="15" ht="57" customHeight="1" spans="1:13">
      <c r="A15" s="12">
        <f t="shared" si="0"/>
        <v>12</v>
      </c>
      <c r="B15" s="12" t="s">
        <v>428</v>
      </c>
      <c r="C15" s="12" t="s">
        <v>429</v>
      </c>
      <c r="D15" s="17" t="str">
        <f>_xlfn.DISPIMG("ID_8F4F03E51912422C87BB132ACF6038F8",1)</f>
        <v>=DISPIMG("ID_8F4F03E51912422C87BB132ACF6038F8",1)</v>
      </c>
      <c r="E15" s="14" t="s">
        <v>426</v>
      </c>
      <c r="F15" s="15" t="s">
        <v>427</v>
      </c>
      <c r="G15" s="15" t="s">
        <v>27</v>
      </c>
      <c r="H15" s="15" t="s">
        <v>78</v>
      </c>
      <c r="I15" s="15" t="s">
        <v>408</v>
      </c>
      <c r="J15" s="15" t="s">
        <v>412</v>
      </c>
      <c r="K15" s="12" t="s">
        <v>31</v>
      </c>
      <c r="L15" s="16">
        <v>50</v>
      </c>
      <c r="M15" s="15"/>
    </row>
    <row r="16" ht="48" customHeight="1" spans="1:13">
      <c r="A16" s="12">
        <f t="shared" si="0"/>
        <v>13</v>
      </c>
      <c r="B16" s="12" t="s">
        <v>430</v>
      </c>
      <c r="C16" s="12" t="s">
        <v>431</v>
      </c>
      <c r="D16" s="17" t="str">
        <f>_xlfn.DISPIMG("ID_47BA8F1D76F6423192718413BB4B0698",1)</f>
        <v>=DISPIMG("ID_47BA8F1D76F6423192718413BB4B0698",1)</v>
      </c>
      <c r="E16" s="14" t="s">
        <v>426</v>
      </c>
      <c r="F16" s="15" t="s">
        <v>432</v>
      </c>
      <c r="G16" s="15" t="s">
        <v>27</v>
      </c>
      <c r="H16" s="15" t="s">
        <v>78</v>
      </c>
      <c r="I16" s="15" t="s">
        <v>408</v>
      </c>
      <c r="J16" s="15" t="s">
        <v>412</v>
      </c>
      <c r="K16" s="12" t="s">
        <v>31</v>
      </c>
      <c r="L16" s="16">
        <v>20</v>
      </c>
      <c r="M16" s="15"/>
    </row>
    <row r="17" ht="54.55" spans="1:13">
      <c r="A17" s="12">
        <f t="shared" si="0"/>
        <v>14</v>
      </c>
      <c r="B17" s="12">
        <v>1</v>
      </c>
      <c r="C17" s="12" t="s">
        <v>433</v>
      </c>
      <c r="D17" s="17" t="str">
        <f>_xlfn.DISPIMG("ID_8587CC545BB54F39858DB45898B84611",1)</f>
        <v>=DISPIMG("ID_8587CC545BB54F39858DB45898B84611",1)</v>
      </c>
      <c r="E17" s="14" t="s">
        <v>434</v>
      </c>
      <c r="F17" s="15" t="s">
        <v>435</v>
      </c>
      <c r="G17" s="15" t="s">
        <v>27</v>
      </c>
      <c r="H17" s="15" t="s">
        <v>78</v>
      </c>
      <c r="I17" s="15" t="s">
        <v>408</v>
      </c>
      <c r="J17" s="15" t="s">
        <v>436</v>
      </c>
      <c r="K17" s="12" t="s">
        <v>31</v>
      </c>
      <c r="L17" s="16">
        <v>33</v>
      </c>
      <c r="M17" s="15"/>
    </row>
    <row r="18" ht="49" spans="1:13">
      <c r="A18" s="12">
        <f t="shared" si="0"/>
        <v>15</v>
      </c>
      <c r="B18" s="12">
        <v>2</v>
      </c>
      <c r="C18" s="12" t="s">
        <v>437</v>
      </c>
      <c r="D18" s="17" t="str">
        <f>_xlfn.DISPIMG("ID_523C61235C8549A1B4DF8787193D5F91",1)</f>
        <v>=DISPIMG("ID_523C61235C8549A1B4DF8787193D5F91",1)</v>
      </c>
      <c r="E18" s="14" t="s">
        <v>438</v>
      </c>
      <c r="F18" s="15" t="s">
        <v>439</v>
      </c>
      <c r="G18" s="15" t="s">
        <v>27</v>
      </c>
      <c r="H18" s="15" t="s">
        <v>78</v>
      </c>
      <c r="I18" s="15" t="s">
        <v>408</v>
      </c>
      <c r="J18" s="15" t="s">
        <v>436</v>
      </c>
      <c r="K18" s="12" t="s">
        <v>31</v>
      </c>
      <c r="L18" s="16">
        <v>6</v>
      </c>
      <c r="M18" s="15"/>
    </row>
    <row r="19" ht="36" spans="1:13">
      <c r="A19" s="12">
        <f t="shared" si="0"/>
        <v>16</v>
      </c>
      <c r="B19" s="12">
        <v>3</v>
      </c>
      <c r="C19" s="12" t="s">
        <v>440</v>
      </c>
      <c r="D19" s="17" t="str">
        <f>_xlfn.DISPIMG("ID_72A8CE9514004015978F2F7903D958EB",1)</f>
        <v>=DISPIMG("ID_72A8CE9514004015978F2F7903D958EB",1)</v>
      </c>
      <c r="E19" s="14" t="s">
        <v>438</v>
      </c>
      <c r="F19" s="15" t="s">
        <v>441</v>
      </c>
      <c r="G19" s="15" t="s">
        <v>27</v>
      </c>
      <c r="H19" s="15" t="s">
        <v>78</v>
      </c>
      <c r="I19" s="15" t="s">
        <v>408</v>
      </c>
      <c r="J19" s="15" t="s">
        <v>436</v>
      </c>
      <c r="K19" s="12" t="s">
        <v>31</v>
      </c>
      <c r="L19" s="16">
        <v>6</v>
      </c>
      <c r="M19" s="15"/>
    </row>
    <row r="20" ht="76" customHeight="1" spans="1:13">
      <c r="A20" s="12">
        <f t="shared" si="0"/>
        <v>17</v>
      </c>
      <c r="B20" s="12">
        <v>4</v>
      </c>
      <c r="C20" s="12" t="s">
        <v>442</v>
      </c>
      <c r="D20" s="17" t="str">
        <f>_xlfn.DISPIMG("ID_3F37ECCE6D6D4A269B36E43E5C5163C0",1)</f>
        <v>=DISPIMG("ID_3F37ECCE6D6D4A269B36E43E5C5163C0",1)</v>
      </c>
      <c r="E20" s="14" t="s">
        <v>443</v>
      </c>
      <c r="F20" s="15" t="s">
        <v>444</v>
      </c>
      <c r="G20" s="15" t="s">
        <v>256</v>
      </c>
      <c r="H20" s="15" t="s">
        <v>445</v>
      </c>
      <c r="I20" s="15" t="s">
        <v>408</v>
      </c>
      <c r="J20" s="15" t="s">
        <v>436</v>
      </c>
      <c r="K20" s="12" t="s">
        <v>31</v>
      </c>
      <c r="L20" s="16">
        <v>3</v>
      </c>
      <c r="M20" s="15"/>
    </row>
    <row r="21" ht="77" customHeight="1" spans="1:13">
      <c r="A21" s="12">
        <f t="shared" si="0"/>
        <v>18</v>
      </c>
      <c r="B21" s="12">
        <v>5</v>
      </c>
      <c r="C21" s="12" t="s">
        <v>446</v>
      </c>
      <c r="D21" s="17" t="str">
        <f>_xlfn.DISPIMG("ID_69AAEB5AA335460881F77C13F190292D",1)</f>
        <v>=DISPIMG("ID_69AAEB5AA335460881F77C13F190292D",1)</v>
      </c>
      <c r="E21" s="14" t="s">
        <v>443</v>
      </c>
      <c r="F21" s="15" t="s">
        <v>444</v>
      </c>
      <c r="G21" s="15" t="s">
        <v>256</v>
      </c>
      <c r="H21" s="15" t="s">
        <v>445</v>
      </c>
      <c r="I21" s="15" t="s">
        <v>408</v>
      </c>
      <c r="J21" s="15" t="s">
        <v>436</v>
      </c>
      <c r="K21" s="12" t="s">
        <v>31</v>
      </c>
      <c r="L21" s="16">
        <v>3</v>
      </c>
      <c r="M21" s="15"/>
    </row>
    <row r="22" ht="52.3" spans="1:13">
      <c r="A22" s="12">
        <f t="shared" si="0"/>
        <v>19</v>
      </c>
      <c r="B22" s="12">
        <v>6</v>
      </c>
      <c r="C22" s="12" t="s">
        <v>447</v>
      </c>
      <c r="D22" s="17" t="str">
        <f>_xlfn.DISPIMG("ID_7895B5961AEF470299DCB5F01A61BDD7",1)</f>
        <v>=DISPIMG("ID_7895B5961AEF470299DCB5F01A61BDD7",1)</v>
      </c>
      <c r="E22" s="14" t="s">
        <v>448</v>
      </c>
      <c r="F22" s="15" t="s">
        <v>449</v>
      </c>
      <c r="G22" s="15" t="s">
        <v>27</v>
      </c>
      <c r="H22" s="15" t="s">
        <v>78</v>
      </c>
      <c r="I22" s="15" t="s">
        <v>408</v>
      </c>
      <c r="J22" s="15" t="s">
        <v>436</v>
      </c>
      <c r="K22" s="12" t="s">
        <v>31</v>
      </c>
      <c r="L22" s="16">
        <v>20</v>
      </c>
      <c r="M22" s="15"/>
    </row>
    <row r="23" ht="52.3" spans="1:13">
      <c r="A23" s="12">
        <f t="shared" si="0"/>
        <v>20</v>
      </c>
      <c r="B23" s="12">
        <v>7</v>
      </c>
      <c r="C23" s="12" t="s">
        <v>450</v>
      </c>
      <c r="D23" s="17" t="str">
        <f>_xlfn.DISPIMG("ID_7895B5961AEF470299DCB5F01A61BDD7",1)</f>
        <v>=DISPIMG("ID_7895B5961AEF470299DCB5F01A61BDD7",1)</v>
      </c>
      <c r="E23" s="14" t="s">
        <v>448</v>
      </c>
      <c r="F23" s="15" t="s">
        <v>449</v>
      </c>
      <c r="G23" s="15" t="s">
        <v>27</v>
      </c>
      <c r="H23" s="15" t="s">
        <v>78</v>
      </c>
      <c r="I23" s="15" t="s">
        <v>408</v>
      </c>
      <c r="J23" s="15" t="s">
        <v>436</v>
      </c>
      <c r="K23" s="12" t="s">
        <v>31</v>
      </c>
      <c r="L23" s="16">
        <v>3</v>
      </c>
      <c r="M23" s="15"/>
    </row>
    <row r="24" ht="77.45" spans="1:13">
      <c r="A24" s="12">
        <f t="shared" si="0"/>
        <v>21</v>
      </c>
      <c r="B24" s="12">
        <v>8</v>
      </c>
      <c r="C24" s="12" t="s">
        <v>451</v>
      </c>
      <c r="D24" s="17" t="str">
        <f>_xlfn.DISPIMG("ID_A8392A2C88B644BF832075EEE49E6F6E",1)</f>
        <v>=DISPIMG("ID_A8392A2C88B644BF832075EEE49E6F6E",1)</v>
      </c>
      <c r="E24" s="14" t="s">
        <v>452</v>
      </c>
      <c r="F24" s="15" t="s">
        <v>453</v>
      </c>
      <c r="G24" s="15" t="s">
        <v>27</v>
      </c>
      <c r="H24" s="15" t="s">
        <v>78</v>
      </c>
      <c r="I24" s="15" t="s">
        <v>408</v>
      </c>
      <c r="J24" s="15" t="s">
        <v>436</v>
      </c>
      <c r="K24" s="12" t="s">
        <v>31</v>
      </c>
      <c r="L24" s="16">
        <v>23</v>
      </c>
      <c r="M24" s="15"/>
    </row>
    <row r="25" ht="40" customHeight="1" spans="1:13">
      <c r="A25" s="12">
        <f t="shared" si="0"/>
        <v>22</v>
      </c>
      <c r="B25" s="12">
        <v>9</v>
      </c>
      <c r="C25" s="12" t="s">
        <v>454</v>
      </c>
      <c r="D25" s="17" t="str">
        <f>_xlfn.DISPIMG("ID_243F2B73A49A41AEBD819153EDE3BF8B",1)</f>
        <v>=DISPIMG("ID_243F2B73A49A41AEBD819153EDE3BF8B",1)</v>
      </c>
      <c r="E25" s="14" t="s">
        <v>455</v>
      </c>
      <c r="F25" s="15" t="s">
        <v>456</v>
      </c>
      <c r="G25" s="15" t="s">
        <v>27</v>
      </c>
      <c r="H25" s="15" t="s">
        <v>78</v>
      </c>
      <c r="I25" s="15" t="s">
        <v>408</v>
      </c>
      <c r="J25" s="15" t="s">
        <v>436</v>
      </c>
      <c r="K25" s="12" t="s">
        <v>31</v>
      </c>
      <c r="L25" s="16">
        <v>40</v>
      </c>
      <c r="M25" s="15"/>
    </row>
    <row r="26" spans="1:13">
      <c r="E26" s="18"/>
    </row>
    <row r="27" spans="1:13">
      <c r="E27" s="18"/>
    </row>
    <row r="28" spans="1:13">
      <c r="E28" s="18"/>
    </row>
    <row r="29" spans="1:13">
      <c r="E29" s="18"/>
    </row>
    <row r="30" spans="1:13">
      <c r="E30" s="18"/>
    </row>
    <row r="31" spans="1:13">
      <c r="E31" s="18"/>
    </row>
    <row r="32" spans="1:13">
      <c r="E32" s="18"/>
    </row>
    <row r="33" spans="5:5">
      <c r="E33" s="18"/>
    </row>
  </sheetData>
  <mergeCells count="2">
    <mergeCell ref="A1:M1"/>
    <mergeCell ref="A2:M2"/>
  </mergeCells>
  <pageMargins left="0.700694444444445" right="0.700694444444445" top="0.354166666666667" bottom="0.511805555555556" header="0.235416666666667" footer="0.118055555555556"/>
  <pageSetup paperSize="9" scale="92" fitToHeight="0" orientation="landscape" horizontalDpi="600"/>
  <headerFooter>
    <oddFooter>&amp;C第 &amp;P 页，共 &amp;N 页</oddFooter>
  </headerFooter>
  <colBreaks count="1" manualBreakCount="1">
    <brk id="13" max="1048575" man="1"/>
  </colBreak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汇总表</vt:lpstr>
      <vt:lpstr>外场景观标识</vt:lpstr>
      <vt:lpstr>公区</vt:lpstr>
      <vt:lpstr>会所</vt:lpstr>
      <vt:lpstr>公园绿地</vt:lpstr>
      <vt:lpstr>地库</vt:lpstr>
      <vt:lpstr>物业相关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 wu</dc:creator>
  <cp:lastModifiedBy>周魏紫</cp:lastModifiedBy>
  <dcterms:created xsi:type="dcterms:W3CDTF">2023-05-12T11:15:00Z</dcterms:created>
  <dcterms:modified xsi:type="dcterms:W3CDTF">2026-08-15T07:30:40Z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D61D9FA8E78F41C2AB9F4B42150E90E4_13</vt:lpwstr>
  </property>
  <property fmtid="{D5CDD505-2E9C-101B-9397-08002B2CF9AE}" pid="4" name="CalculationRule">
    <vt:i4>0</vt:i4>
  </property>
</Properties>
</file>